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1.1.94\ingegneriaMED\SIM\Gestione attività\Attività 2023\BEP 2024\281223\"/>
    </mc:Choice>
  </mc:AlternateContent>
  <bookViews>
    <workbookView xWindow="0" yWindow="0" windowWidth="4860" windowHeight="7290"/>
  </bookViews>
  <sheets>
    <sheet name="Piano investimenti" sheetId="10" r:id="rId1"/>
    <sheet name="Piano investimenti con colori" sheetId="9" r:id="rId2"/>
  </sheets>
  <definedNames>
    <definedName name="_xlnm._FilterDatabase" localSheetId="0" hidden="1">'Piano investimenti'!$A$3:$AJ$4</definedName>
    <definedName name="_xlnm._FilterDatabase" localSheetId="1" hidden="1">'Piano investimenti con colori'!$AC$25:$AI$37</definedName>
    <definedName name="_xlnm.Print_Area" localSheetId="0">'Piano investimenti'!$A$2:$AJ$82</definedName>
    <definedName name="_xlnm.Print_Area" localSheetId="1">'Piano investimenti con colori'!$A$2:$AJ$82</definedName>
    <definedName name="_xlnm.Print_Titles" localSheetId="0">'Piano investimenti'!$A:$G,'Piano investimenti'!$2:$4</definedName>
    <definedName name="_xlnm.Print_Titles" localSheetId="1">'Piano investimenti con colori'!$A:$G,'Piano investimenti con colori'!$2:$4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0" l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K43" i="10"/>
  <c r="X43" i="10" s="1"/>
  <c r="AI43" i="10" s="1"/>
  <c r="AI42" i="10"/>
  <c r="X42" i="10"/>
  <c r="K42" i="10"/>
  <c r="X41" i="10"/>
  <c r="AI41" i="10" s="1"/>
  <c r="Q41" i="10"/>
  <c r="K41" i="10"/>
  <c r="K38" i="10"/>
  <c r="X38" i="10" s="1"/>
  <c r="Q37" i="10"/>
  <c r="K37" i="10"/>
  <c r="X37" i="10" s="1"/>
  <c r="AI37" i="10" s="1"/>
  <c r="AI36" i="10"/>
  <c r="X36" i="10"/>
  <c r="X35" i="10"/>
  <c r="AI35" i="10" s="1"/>
  <c r="Q35" i="10"/>
  <c r="K35" i="10"/>
  <c r="X34" i="10"/>
  <c r="AI34" i="10" s="1"/>
  <c r="AI33" i="10"/>
  <c r="AI32" i="10"/>
  <c r="AI31" i="10"/>
  <c r="AI30" i="10"/>
  <c r="X30" i="10"/>
  <c r="Z30" i="10" s="1"/>
  <c r="X29" i="10"/>
  <c r="AI29" i="10" s="1"/>
  <c r="R29" i="10"/>
  <c r="Q29" i="10"/>
  <c r="AI28" i="10"/>
  <c r="R27" i="10"/>
  <c r="Q27" i="10"/>
  <c r="M27" i="10"/>
  <c r="R26" i="10"/>
  <c r="Q26" i="10"/>
  <c r="M26" i="10"/>
  <c r="M25" i="10"/>
  <c r="R24" i="10"/>
  <c r="Q24" i="10"/>
  <c r="AA23" i="10"/>
  <c r="R23" i="10"/>
  <c r="Q23" i="10"/>
  <c r="M23" i="10"/>
  <c r="R22" i="10"/>
  <c r="Q22" i="10"/>
  <c r="M22" i="10"/>
  <c r="R21" i="10"/>
  <c r="Q21" i="10"/>
  <c r="AI20" i="10"/>
  <c r="AA20" i="10"/>
  <c r="R20" i="10"/>
  <c r="Q20" i="10"/>
  <c r="M20" i="10"/>
  <c r="AI19" i="10"/>
  <c r="R19" i="10"/>
  <c r="Q19" i="10"/>
  <c r="M19" i="10"/>
  <c r="AI18" i="10"/>
  <c r="K18" i="10"/>
  <c r="Y18" i="10" s="1"/>
  <c r="AI17" i="10"/>
  <c r="R17" i="10"/>
  <c r="Q17" i="10"/>
  <c r="M17" i="10"/>
  <c r="AI16" i="10"/>
  <c r="M16" i="10"/>
  <c r="AI15" i="10"/>
  <c r="M15" i="10"/>
  <c r="AI14" i="10"/>
  <c r="AA14" i="10"/>
  <c r="M14" i="10"/>
  <c r="AI13" i="10"/>
  <c r="AI12" i="10"/>
  <c r="AI11" i="10"/>
  <c r="M11" i="10"/>
  <c r="AI10" i="10"/>
  <c r="R10" i="10"/>
  <c r="Q10" i="10"/>
  <c r="M10" i="10"/>
  <c r="X9" i="10"/>
  <c r="R9" i="10"/>
  <c r="Q9" i="10"/>
  <c r="Z8" i="10"/>
  <c r="R8" i="10"/>
  <c r="R7" i="10"/>
  <c r="Z7" i="10" s="1"/>
  <c r="K7" i="10"/>
  <c r="Z6" i="10"/>
  <c r="M6" i="10"/>
  <c r="R5" i="10"/>
  <c r="Q5" i="10"/>
  <c r="M5" i="10"/>
  <c r="AI32" i="9"/>
  <c r="M18" i="10" l="1"/>
  <c r="AA18" i="10"/>
  <c r="X18" i="10"/>
  <c r="AI55" i="9"/>
  <c r="AI54" i="9"/>
  <c r="AI53" i="9"/>
  <c r="AI52" i="9"/>
  <c r="AI51" i="9"/>
  <c r="AI50" i="9"/>
  <c r="AI49" i="9"/>
  <c r="AI33" i="9" l="1"/>
  <c r="X36" i="9"/>
  <c r="AI36" i="9" s="1"/>
  <c r="K37" i="9"/>
  <c r="X37" i="9" s="1"/>
  <c r="AI37" i="9" s="1"/>
  <c r="X29" i="9"/>
  <c r="AA14" i="9" l="1"/>
  <c r="AA23" i="9"/>
  <c r="AA20" i="9"/>
  <c r="Q24" i="9" l="1"/>
  <c r="R24" i="9"/>
  <c r="AI47" i="9" l="1"/>
  <c r="Y62" i="9"/>
  <c r="X9" i="9"/>
  <c r="AI46" i="9"/>
  <c r="AI45" i="9"/>
  <c r="AI44" i="9"/>
  <c r="AI48" i="9"/>
  <c r="AI31" i="9"/>
  <c r="AI10" i="9"/>
  <c r="K42" i="9" l="1"/>
  <c r="X42" i="9" s="1"/>
  <c r="AI42" i="9" s="1"/>
  <c r="Q41" i="9"/>
  <c r="K41" i="9"/>
  <c r="X41" i="9" s="1"/>
  <c r="AI41" i="9" s="1"/>
  <c r="Q37" i="9"/>
  <c r="Q35" i="9"/>
  <c r="K35" i="9"/>
  <c r="X35" i="9" s="1"/>
  <c r="AI35" i="9" s="1"/>
  <c r="K18" i="9" l="1"/>
  <c r="AI13" i="9"/>
  <c r="AI12" i="9"/>
  <c r="AI16" i="9"/>
  <c r="M16" i="9"/>
  <c r="AI14" i="9"/>
  <c r="AI15" i="9" l="1"/>
  <c r="M15" i="9"/>
  <c r="M14" i="9"/>
  <c r="AA18" i="9" l="1"/>
  <c r="AA56" i="9" s="1"/>
  <c r="Y18" i="9"/>
  <c r="Y56" i="9" s="1"/>
  <c r="X18" i="9"/>
  <c r="X30" i="9"/>
  <c r="Z30" i="9" s="1"/>
  <c r="M18" i="9" l="1"/>
  <c r="AI18" i="9"/>
  <c r="AI29" i="9" l="1"/>
  <c r="X34" i="9"/>
  <c r="AI34" i="9" s="1"/>
  <c r="K43" i="9"/>
  <c r="X43" i="9" s="1"/>
  <c r="AI43" i="9" s="1"/>
  <c r="K38" i="9"/>
  <c r="X38" i="9" s="1"/>
  <c r="AI30" i="9" l="1"/>
  <c r="R29" i="9"/>
  <c r="Q29" i="9"/>
  <c r="AI28" i="9"/>
  <c r="R27" i="9"/>
  <c r="Q27" i="9"/>
  <c r="M27" i="9"/>
  <c r="R26" i="9"/>
  <c r="Q26" i="9"/>
  <c r="M26" i="9"/>
  <c r="M25" i="9"/>
  <c r="R23" i="9"/>
  <c r="Q23" i="9"/>
  <c r="M23" i="9"/>
  <c r="R22" i="9"/>
  <c r="Q22" i="9"/>
  <c r="M22" i="9"/>
  <c r="R21" i="9"/>
  <c r="Q21" i="9"/>
  <c r="AI20" i="9"/>
  <c r="R20" i="9"/>
  <c r="Q20" i="9"/>
  <c r="M20" i="9"/>
  <c r="AI19" i="9"/>
  <c r="R19" i="9"/>
  <c r="Q19" i="9"/>
  <c r="M19" i="9"/>
  <c r="AI17" i="9"/>
  <c r="R17" i="9"/>
  <c r="Q17" i="9"/>
  <c r="M17" i="9"/>
  <c r="AI11" i="9"/>
  <c r="M11" i="9"/>
  <c r="R10" i="9"/>
  <c r="Q10" i="9"/>
  <c r="M10" i="9"/>
  <c r="R9" i="9"/>
  <c r="Q9" i="9"/>
  <c r="Z8" i="9"/>
  <c r="R8" i="9"/>
  <c r="R7" i="9"/>
  <c r="Z7" i="9" s="1"/>
  <c r="K7" i="9"/>
  <c r="K56" i="9" s="1"/>
  <c r="Z6" i="9"/>
  <c r="M6" i="9"/>
  <c r="R5" i="9"/>
  <c r="Q5" i="9"/>
  <c r="M5" i="9"/>
</calcChain>
</file>

<file path=xl/comments1.xml><?xml version="1.0" encoding="utf-8"?>
<comments xmlns="http://schemas.openxmlformats.org/spreadsheetml/2006/main">
  <authors>
    <author>Passero, Marco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>art 20 L67/88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art 20 L67/88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Scalati da 780.000,00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Scalati da 730.000,00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art 20 L67/88</t>
        </r>
      </text>
    </comment>
  </commentList>
</comments>
</file>

<file path=xl/comments2.xml><?xml version="1.0" encoding="utf-8"?>
<comments xmlns="http://schemas.openxmlformats.org/spreadsheetml/2006/main">
  <authors>
    <author>Passero, Marco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>art 20 L67/88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art 20 L67/88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Scalati da 780.000,00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Scalati da 730.000,00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art 20 L67/88</t>
        </r>
      </text>
    </comment>
  </commentList>
</comments>
</file>

<file path=xl/sharedStrings.xml><?xml version="1.0" encoding="utf-8"?>
<sst xmlns="http://schemas.openxmlformats.org/spreadsheetml/2006/main" count="1240" uniqueCount="200">
  <si>
    <t>1) DATI IDENTIFICATIVI</t>
  </si>
  <si>
    <t>2) CONTENUTI PROGETTUALI</t>
  </si>
  <si>
    <t>Descrizione intervento</t>
  </si>
  <si>
    <t>Data ultimazione lavori prevista</t>
  </si>
  <si>
    <t>Note</t>
  </si>
  <si>
    <t>3) DOCUMENTO PRELIMINARE 
DI PROGETTAZIONE</t>
  </si>
  <si>
    <t>7) ALTRE INFORMAZIONI</t>
  </si>
  <si>
    <t>Finanziamenti da Regione</t>
  </si>
  <si>
    <t>Donazione o lasciti</t>
  </si>
  <si>
    <t>Altre tipologie di finanziamento (specificare nel campo note)</t>
  </si>
  <si>
    <t>Collaudo</t>
  </si>
  <si>
    <t>Fine lavori</t>
  </si>
  <si>
    <t>Inizio lavori</t>
  </si>
  <si>
    <t>Indizione gara d'appalto</t>
  </si>
  <si>
    <t>Approvazione progetto</t>
  </si>
  <si>
    <t>Altre specifiche</t>
  </si>
  <si>
    <t>Costo/mq</t>
  </si>
  <si>
    <t>Mq intervento</t>
  </si>
  <si>
    <t>Studio di fattibilità</t>
  </si>
  <si>
    <t>Obiettivo intervento</t>
  </si>
  <si>
    <t>Presidio/
Struttura</t>
  </si>
  <si>
    <t>Categoria</t>
  </si>
  <si>
    <t>Sede di erogazione</t>
  </si>
  <si>
    <t>Provincia</t>
  </si>
  <si>
    <t>Comune di ubicazione</t>
  </si>
  <si>
    <t>Soggetto proponente</t>
  </si>
  <si>
    <t>Programma di riferimento</t>
  </si>
  <si>
    <t xml:space="preserve">Finanziamenti da Stato </t>
  </si>
  <si>
    <t>Contributi F.S.R. per destinazione ad investimenti</t>
  </si>
  <si>
    <t>Altri contributi per destinazione ad investimenti</t>
  </si>
  <si>
    <t>Contributi c/capitale</t>
  </si>
  <si>
    <t>Contributi c/esercizio</t>
  </si>
  <si>
    <t>4) FONTE DI FINANZIAMENTO</t>
  </si>
  <si>
    <t>Atto di riferimento (DCA, DGR, Delibera aziendale, etc…)</t>
  </si>
  <si>
    <t>5 A) FABBISOGNO FINANZIARIO PER FONTE DI FINANZIAMENTO
(importi in €)</t>
  </si>
  <si>
    <t>5 B) FABBISOGNO FINANZIARIO PER ANNO
(importi in €)</t>
  </si>
  <si>
    <t>6) PROCEDURE E PREVISIONE TERMINI DI ATTUAZIONE
E ATTIVAZIONE 
(indicare gg/mm/aaaa previsti)</t>
  </si>
  <si>
    <t>Residui anni successivi</t>
  </si>
  <si>
    <t>POLICLINICO TOR VERGATA</t>
  </si>
  <si>
    <t>ROMA</t>
  </si>
  <si>
    <t>A05-30</t>
  </si>
  <si>
    <t>PTV</t>
  </si>
  <si>
    <t>Messa a norma ospedali per acuti</t>
  </si>
  <si>
    <t>Adeguamento antisismico delle strutture delle Torri 6 e 8 di degenza,  la Torre 9 direzionale, la Piastra Servizi ai sensi del DPCM 21/3/2003 e s.m.i.</t>
  </si>
  <si>
    <t>Adeguamento antisismico delle strutture delle Torri 6, 8, 9 e Piastra Servizi ai sensi del D.P.C.M. 21/03/2003 e succ. mm.ii</t>
  </si>
  <si>
    <t>PE</t>
  </si>
  <si>
    <t>n.d.</t>
  </si>
  <si>
    <t>SF</t>
  </si>
  <si>
    <t>Manutenzione  Straordinaria di opere ed impianti: Adeguamento impianti di climatizzazione delle aree ambulatoriali della Piastra nei settori B, C, D</t>
  </si>
  <si>
    <t xml:space="preserve">Adeguamento comfort ambientale degli ambienti dedicati alle attività sanitarie ed interventi di efficientamento energetico -DGR 358 DEL 28.06.2016 </t>
  </si>
  <si>
    <t>Adeguamento e messa a norma Presidio Ospedaliero</t>
  </si>
  <si>
    <t>Manutenzione straordinaria di opere edili ed impianti</t>
  </si>
  <si>
    <t>DGR 344 DEL 20.06.2017 -  (Pubblicata sul B.U.R. N. 53 DEL 04/07/2017)</t>
  </si>
  <si>
    <t>DGR 669 DEL   /   /2018 -  (Pubblicata sul B.U.R. N.      DEL    /    /2018)</t>
  </si>
  <si>
    <t>Progetto di sviluppo e potenziamento delle reti - Completamento dell'ospedale ai sensi del DCA U00064/2018</t>
  </si>
  <si>
    <t xml:space="preserve">Realizzazione del terzo livello dell'edificio denominato Torre 8 </t>
  </si>
  <si>
    <t>DCA 64/2018 Piano Decennale in Materia di Edilizia Sanitaria ex Art. 20, Legge 11 Marzo 1988, N. 67 - Investimenti in Edilizia Sanitaria,</t>
  </si>
  <si>
    <t>(5) (10) (11)</t>
  </si>
  <si>
    <t>Riordino rete ospedaliera ai sensi del DCA U00412/2014</t>
  </si>
  <si>
    <t>Attivazione studi medici a supporto dell'attività clinica svolta nel complesso PTV ai sensi DCA U00412/2014</t>
  </si>
  <si>
    <t>(2)  (10)  (11)</t>
  </si>
  <si>
    <t>DCA U00241 del 15.06.2016 Riorganizzazione della rete ospedaliera a salvaguardia degli obiettivi strategici di rientro dai disavanzi sanitari della Regione Lazio.</t>
  </si>
  <si>
    <t>Adeguamento civile ed impiantistico delle sale parto, della Nursery e della T.I.N. e completamento dell'allestimento</t>
  </si>
  <si>
    <t>DGR n. 471 del 04,08,2016 per la realizzazione del Reparto di Ostetricia e del Reparto di Neonatologia (Unità perinatale di I livello ) ai sensi del DCA U00241 del 15,06,2016</t>
  </si>
  <si>
    <t>(1) (10) (11)</t>
  </si>
  <si>
    <t>Riorganizzazione di unità di degenza in linea con i Piani Strategici Regionali</t>
  </si>
  <si>
    <t>Completamento offerta ospedaliera ai sensi del Protocollo d'Intesa Regione/Università di Roma Tor Vergata</t>
  </si>
  <si>
    <t>nd.</t>
  </si>
  <si>
    <t>Attivazione di N. 18 p.l. D.H. per adeguamento DCA U00412/2014</t>
  </si>
  <si>
    <t>(5) (10)</t>
  </si>
  <si>
    <t>Adeguamento Cardiologia e Cardiochirurgia alle funzioni di hub</t>
  </si>
  <si>
    <t>(5)  (9)</t>
  </si>
  <si>
    <t>Riordino rete ospedaliera ai sensi dei DCA U00412/2014</t>
  </si>
  <si>
    <t>Adeguamento e completamento del sistema di alimentazione di energia elettrica di emergenza tramite g.e. e del sistema di alimentazione idrica tramite l'attivazione della seconda vasca di accumulo - potabile ed antincendio - a servizio dei piani</t>
  </si>
  <si>
    <t>Attuazione norme CEI 64-8 e CEI 64-8/710V2</t>
  </si>
  <si>
    <t>Riorganizzazione attività sanitaria in linea con i Piani Strategici Regionali</t>
  </si>
  <si>
    <t>Completamento ed adeguamento definitivo dell'area sanificazione presidi ed attrezzature</t>
  </si>
  <si>
    <t>PD</t>
  </si>
  <si>
    <t>Messa a norma ai sensi del D.M.I. 3 novembre 2004</t>
  </si>
  <si>
    <t>Completamento delle sistemazioni esterne dell'intero complessa ospedaliero</t>
  </si>
  <si>
    <t>Realizzazione delle sale esposizione Morgue per una razionalizzazione e messa in sicurezza dei percorsi esterni</t>
  </si>
  <si>
    <t>2,4,5</t>
  </si>
  <si>
    <t>LAVORI PER LA RISTRUTTURAZIONE DI 3 SALE OPERATORIE DEDICATE ALL’EMERGENZA COVID-19</t>
  </si>
  <si>
    <t>Donazione ENEL Sole</t>
  </si>
  <si>
    <t xml:space="preserve">Acquisizione degli arredi e delle forniture sanitarie necessarie per l'ammodernamento tecnologico e l'implementazione delle attività dei reparti e dei servizi del  Policlinico  Tor Vergata </t>
  </si>
  <si>
    <t>Programma di ammodernamento tecnologico con sostituzione dei sistemi più obsolescenti e non più prestazionali.</t>
  </si>
  <si>
    <t>n.d</t>
  </si>
  <si>
    <t>(5)-(10)-(11)</t>
  </si>
  <si>
    <t>Implementazione nuova OBI</t>
  </si>
  <si>
    <t>In attesa di Finanziamento</t>
  </si>
  <si>
    <t xml:space="preserve">Ammodernamento parco tecnologico </t>
  </si>
  <si>
    <t>L'obiettivo è sostituire le apparecchiature ad elevata obsolescenza ed a alto indice di priorità e sostituzione.</t>
  </si>
  <si>
    <t>Acquisizione N.2 Tomografi a Risonanza Magnetica 1.5 T</t>
  </si>
  <si>
    <t>Acquisizione N.1 Gamma Camera - CT</t>
  </si>
  <si>
    <t>Acquisizione N.2 Mammografi con Tomosintesi</t>
  </si>
  <si>
    <t>Acquisizione N.1 PET-RM</t>
  </si>
  <si>
    <t>Implementazione di una sezione innovativa della tecnologia ibrida PET-RM per incrementare ulteriormente la qualità dell'offerta sanitaria al paziente-cittadino.</t>
  </si>
  <si>
    <t>Acquisizione N.2 Mammografi Digitali</t>
  </si>
  <si>
    <t>Realizzazione di un Ospedale di Comunità e di una Centrale Operativa Territoriale</t>
  </si>
  <si>
    <t>Realizzazione ed allestimento di 40 p.l. per un Ospedale di Comunità e dei locali di suppporto per un COT</t>
  </si>
  <si>
    <t>Fabbisogno PNRR</t>
  </si>
  <si>
    <t>Nota 1</t>
  </si>
  <si>
    <t>Tipologia di intervento:</t>
  </si>
  <si>
    <t>1 - Nuova Costruzione</t>
  </si>
  <si>
    <t>2 - Ristrutturazione</t>
  </si>
  <si>
    <t>3 - Restauro</t>
  </si>
  <si>
    <t>4 - Manutenzione</t>
  </si>
  <si>
    <t>5 - Completamento</t>
  </si>
  <si>
    <t>6 - Acquisto di immobilizzazioni immateriali (specificare)</t>
  </si>
  <si>
    <t>7 - Acquisto di terreni</t>
  </si>
  <si>
    <t>8 - Acquisto di fabbricati</t>
  </si>
  <si>
    <t>9 - Acquisto di impianti e macchinari</t>
  </si>
  <si>
    <t>10 - Acquisto di atrezzature sanitarie - scientifiche</t>
  </si>
  <si>
    <t>11 - Acquisto di mobili e arredi</t>
  </si>
  <si>
    <t>12 - Acquisto di automezzi e altri mezzi di trasporto</t>
  </si>
  <si>
    <t>13 - Altro (specificare)</t>
  </si>
  <si>
    <t>Nota 2</t>
  </si>
  <si>
    <r>
      <t xml:space="preserve">Il fabbisogno finanziario complessivo indicato nella sezione 3) deve essere dettagliato per tipologia di finanziamento e per anno, rispettivamente nelle sezioni 5 A) </t>
    </r>
    <r>
      <rPr>
        <i/>
        <sz val="9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 xml:space="preserve"> 5 B). Si raccomanda la coerenza tra tali sezioni</t>
    </r>
  </si>
  <si>
    <t>Nota 3</t>
  </si>
  <si>
    <t>Costi di gestione a conclusione dei lavori: la proiezione aziendale dei costi comprende tutte le voci di spesa ad esclusione degli ammortamenti, oneri finanziari e spese generali.</t>
  </si>
  <si>
    <t>Nota 4</t>
  </si>
  <si>
    <t>Costi di esercizio a conclusione dei lavori: la proiezione aziendale dei costi comprende i costi di gestione (di cui alla nota 2) incrementati degli oneri finanziari e delle spese generali di amministrazione. A tal proposito si specifica che, tenuto conto delle modalità di finanziamento delle aziende sanitarie e delle disposizioni di cui al D.Lgs. 118/2011 in merito ai cespiti finanziati con contributi in c/esercizio, nel computo della voce non bisogna considerare gli ammortamenti.</t>
  </si>
  <si>
    <t>Realizzazione di un reparto di Day Hospital per n. 18 p.l. (T8 P8)</t>
  </si>
  <si>
    <t>Realizzazione di un piano di degenza per n. 40 posti letto per  (T8 P9) potenzionamento degli HUB di Cardiologia, Cardiochirurgia e Neuroscienze</t>
  </si>
  <si>
    <t>DGR 723/2021 Ampliamento delle aree di emergenza e accettazione del PTV: Realizzazione di un reparto di Osservazione Breve Intensiva a servizio del DEA</t>
  </si>
  <si>
    <t>DGR 723/2021 Ampliamento delle aree di emergenza e accettazione del PTV</t>
  </si>
  <si>
    <t>Investimenti in conto  capitale non coperti da finanziamento</t>
  </si>
  <si>
    <t>In attesa di finanziamento</t>
  </si>
  <si>
    <t>Riorganizzazione di aree ambulatoriali in linea con i Piani Strategici Regionali</t>
  </si>
  <si>
    <t xml:space="preserve">(2) (10) </t>
  </si>
  <si>
    <t>Ristruttrazione Sale Settorie per realizzazione di livello di sicurezza BSL3</t>
  </si>
  <si>
    <t>Interventi di Manutenzione Straordinaria</t>
  </si>
  <si>
    <t>Manutenzione straordinaria del sistema di continuità elettrica a servizio del PTV con sostituzione degli UPS a fine vita e estensione della continuità ad aree critiche</t>
  </si>
  <si>
    <t>-</t>
  </si>
  <si>
    <t xml:space="preserve"> </t>
  </si>
  <si>
    <t>Interventi di manutenzione straordinaria per elementi a fine vita</t>
  </si>
  <si>
    <t>Acquisizione N.1 Angiografo Vascolari biplanare</t>
  </si>
  <si>
    <t>Finanziato in ambito PNRR, DGR 581/2022, programmata installazione nel 2023</t>
  </si>
  <si>
    <t>Acquisizione N.2 PET-TC con tecnologia digitale</t>
  </si>
  <si>
    <t>Aggiudicata gara regionale. Per pianificazione installazioni, in attesa di autorizzazione da parte del Direttore di UOC Diagnostica per Immagini.</t>
  </si>
  <si>
    <t>Finanziato in ambito PNRR, DGR 581/2022.</t>
  </si>
  <si>
    <t>In attesa di autorizzazione Direttore UOC Diagnostica per Immagini per pianificare installazione che comuque dovrà essere fatta nell'ultimo trimestre 2023 o nel primo sempestre 2024.</t>
  </si>
  <si>
    <t>In attesa di disponibilità convenzione Consip. Installazione possibile l'ultimo trimestre 2023 o al più, primo semestre 2024</t>
  </si>
  <si>
    <t xml:space="preserve"> Acquisito ed Installato il primo tramite AQ Consip. L'autorizzazione per il secondo da parte del Direttore di UOC Diagnostica per immagini è connessa a valutazioni gestionali.</t>
  </si>
  <si>
    <t>Finanziato flusso di cassa, l'importo indicato è il residuo. Nel 2022 acquisito gran parte del fabbisogno rimnente. Nella prima parte del 2023 si concluderanno le installazioni (motivo per cui vi è un residuo ancora indicato).</t>
  </si>
  <si>
    <t xml:space="preserve">Ammodernamento infrastruttura informatica </t>
  </si>
  <si>
    <t>Ammodernamento del parco tecnologico e digitale ospedaliero (Digitalizzazione)</t>
  </si>
  <si>
    <t>dic.24</t>
  </si>
  <si>
    <t>Ammodernamento arredi sanitari e non</t>
  </si>
  <si>
    <t>L'obiettivo è sostituire gli arredi ad elevata obsolescenza.</t>
  </si>
  <si>
    <t>Implementazione di un nuovo modello organizzativo: Centrali Operative Territoriali (COT)</t>
  </si>
  <si>
    <t xml:space="preserve">Casa come primo luogo di cura: Centrali operative territoriali-Interconnessione aziendale (COT Interconnessione)
</t>
  </si>
  <si>
    <t>Casa come primo luogo di cura: Centrali operative territoriali-Interconnessione aziendale (COT Interconnessione)</t>
  </si>
  <si>
    <t>Casa come primo luogo di cura: Centrali operative territoriali-Devices (COT Device)</t>
  </si>
  <si>
    <t>gi-24</t>
  </si>
  <si>
    <t>Verso un nuovo ospedale sicuro e sostenibile (Antisismica PNC)</t>
  </si>
  <si>
    <t>TOTALE</t>
  </si>
  <si>
    <r>
      <t xml:space="preserve">Tipologia intervento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</si>
  <si>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Fabbisogno finanziario complessivo 
(importo in €)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</si>
  <si>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Costi di gestione a conclusione dei lavori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</si>
  <si>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Costi di esercizio a conclusione dei lavori 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</si>
  <si>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SCHEMA PIANO DEGLI INVESTIMENTI</t>
  </si>
  <si>
    <t>Completamento allestimento arredi norma antincendio</t>
  </si>
  <si>
    <t>Manutenzione straordinaria degli elevatori a servizio del PTV con sostituzione di componenti a fine vita e adeguamento della sicurezza</t>
  </si>
  <si>
    <t>Nuova realizzazione di una area ambulatoriale con annessi ambulatori chiirurgici collocata nel settore I, secondo piano quadrante 1 dell'edificio Piastra</t>
  </si>
  <si>
    <t>Revisione progressiva dell'impianto antincendio esistente, comprendente la sostituzione delle centrali di gestione dell'illuminazione di emergenza, dei rivelatori antincendio</t>
  </si>
  <si>
    <t>Revisione progressiva dell'impianto antincendio esistente, comprendente maniglioni antipanico con altrettanti adeguati alla nuova normativa CE</t>
  </si>
  <si>
    <t>Nuova Centrale di Sterilizzazione</t>
  </si>
  <si>
    <t>Lavori di realizzazione nuova cabina elettrica (MT/BT) e Gruppo Elettrogeno a supporto della nuova centrale di sterilizzazione</t>
  </si>
  <si>
    <t>Installazione grandi apparecchiature</t>
  </si>
  <si>
    <t>Lavori propedeutici finalizzati all'installazione di grandi apparecchiature acquistate con fondi PNRR</t>
  </si>
  <si>
    <t>SIMT - Officina del sangue</t>
  </si>
  <si>
    <t>Lavori di manutenzione straordinaria del Reparto Trasfusionale</t>
  </si>
  <si>
    <t>Manutenzione straordinaria PTV - Impermeabilizzazione</t>
  </si>
  <si>
    <t xml:space="preserve">Lavori propedeutici finalizzati all'installazione di grandi apparecchiature acquistate con fondi PNRR (PET TC e ottimizzazione locali ancillari Medicina Nucleare) </t>
  </si>
  <si>
    <t>Lavori di impermeabilizzazione chiostrine e relativi interventi edilizi</t>
  </si>
  <si>
    <t>Lavori di manutenzione straordinaria per realizzazione lavaggio endoscopico ed adeguamento Reparto di Gastroenterologia</t>
  </si>
  <si>
    <t>Nuovo Lavaggio endoscopio</t>
  </si>
  <si>
    <t>Manutenzione straordinaria linee fan coil ammalorate</t>
  </si>
  <si>
    <t>Realizzazione di un reparto di degenza di 40 p.l. T8</t>
  </si>
  <si>
    <t xml:space="preserve">Lavori di sostituzione linee fan coil Settori I - A </t>
  </si>
  <si>
    <t>Intervento di ammodernamento della struttura informatica per adeguamento tecnologico, realizzazione di una soluzioni innovative a supporto della gestione integrata del singolo letto di degenza, sistema di chiamata infermiere.</t>
  </si>
  <si>
    <t>Acquisizione N. 2 Tavoli Telecomandati</t>
  </si>
  <si>
    <r>
      <t xml:space="preserve">2024
</t>
    </r>
    <r>
      <rPr>
        <b/>
        <i/>
        <sz val="10"/>
        <color theme="1"/>
        <rFont val="Calibri"/>
        <family val="2"/>
        <scheme val="minor"/>
      </rPr>
      <t xml:space="preserve">di cui Contributi c/esercizio </t>
    </r>
  </si>
  <si>
    <t>DGR 861 del 19.12.2017 - DCA 314/2016 Programma straordinario di investimenti in sanità ex art. 20 L.67/88 III Fase - Importo finanziamento € 2.361.176,00</t>
  </si>
  <si>
    <t>Finanziato in ambito PNRR, DGR 581/2022, programmata installazione nel 2024</t>
  </si>
  <si>
    <t xml:space="preserve">Finanziato in ambito PNRR, DGR 581/2022, programmata installazione nel 2024 </t>
  </si>
  <si>
    <t>Finanziato in ambito PNRR, DGR 581/2022. Installazione in fase di ultimazione con conseguente attivazione nel gennaio 2024.</t>
  </si>
  <si>
    <t>Ristrutturazione Medicina Nucleare</t>
  </si>
  <si>
    <t xml:space="preserve">Realizzazione di un laboratorio Galenico </t>
  </si>
  <si>
    <t>DGR 911/2020, DDG 791/2023</t>
  </si>
  <si>
    <t>2-10</t>
  </si>
  <si>
    <t>Ristruttrazione ed ammodernamento N.12 Sale Operatorie</t>
  </si>
  <si>
    <t>Ristrutturazione edile, impiantistico e tecnologico di 12 sale operatorie.</t>
  </si>
  <si>
    <t>Ristrutturazione edile, impiantistica e implementazione tecnologica propedeutica all'attivazione di un centro di Trapianti di Cuore e gestione del paziente con scompenso cardiaco grave</t>
  </si>
  <si>
    <t>Attivazione di un centro di Trapianti di Cuore e gestione del paziente con scompenso cardiaco grave</t>
  </si>
  <si>
    <t>In  fase di richiesta di Finanziamento</t>
  </si>
  <si>
    <t>In attesa di risposta alla richiesta di Finanziamento</t>
  </si>
  <si>
    <t>Programma di ammodernamento tecnologico con sostituzione dei sistemi più obsolescenti e non più prestazionali  (installazione secondo mammografo).</t>
  </si>
  <si>
    <t>Programma di ammodernamento tecnologico con sostituzione dei sistemi più obsolescenti e non più prestazionali (seconda PET/TC acquisita da finire di attivare nel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</si>
</sst>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_-* #,##0.00\ [$€-410]_-;\-* #,##0.00\ [$€-410]_-;_-* &quot;-&quot;??\ [$€-410]_-;_-@_-"/>
    <numFmt numFmtId="167" formatCode="&quot;€&quot;\ #,##0.00"/>
    <numFmt numFmtId="168" formatCode="_-[$€-410]\ * #,##0.00_-;\-[$€-410]\ * #,##0.00_-;_-[$€-410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indexed="2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0" fontId="2" fillId="0" borderId="0" xfId="0" applyFont="1"/>
    <xf numFmtId="166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" fontId="8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166" fontId="10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166" fontId="3" fillId="3" borderId="5" xfId="0" applyNumberFormat="1" applyFont="1" applyFill="1" applyBorder="1" applyAlignment="1">
      <alignment horizontal="center" vertical="center"/>
    </xf>
    <xf numFmtId="17" fontId="3" fillId="3" borderId="5" xfId="0" applyNumberFormat="1" applyFont="1" applyFill="1" applyBorder="1" applyAlignment="1">
      <alignment horizontal="center" vertical="center"/>
    </xf>
    <xf numFmtId="167" fontId="11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Continuous" vertical="center" wrapText="1"/>
    </xf>
    <xf numFmtId="0" fontId="14" fillId="4" borderId="8" xfId="0" applyFont="1" applyFill="1" applyBorder="1" applyAlignment="1">
      <alignment horizontal="centerContinuous" vertical="center" wrapText="1"/>
    </xf>
    <xf numFmtId="0" fontId="2" fillId="4" borderId="8" xfId="0" applyFont="1" applyFill="1" applyBorder="1" applyAlignment="1">
      <alignment horizontal="centerContinuous" vertical="center" wrapText="1"/>
    </xf>
    <xf numFmtId="44" fontId="2" fillId="4" borderId="8" xfId="2" applyFont="1" applyFill="1" applyBorder="1" applyAlignment="1">
      <alignment horizontal="centerContinuous" vertical="center" wrapText="1"/>
    </xf>
    <xf numFmtId="0" fontId="2" fillId="4" borderId="9" xfId="0" applyFont="1" applyFill="1" applyBorder="1" applyAlignment="1">
      <alignment horizontal="centerContinuous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Continuous" vertical="center" wrapText="1"/>
    </xf>
    <xf numFmtId="0" fontId="10" fillId="5" borderId="5" xfId="0" applyFont="1" applyFill="1" applyBorder="1" applyAlignment="1">
      <alignment horizontal="centerContinuous" vertical="center" wrapText="1"/>
    </xf>
    <xf numFmtId="0" fontId="10" fillId="5" borderId="5" xfId="0" applyFont="1" applyFill="1" applyBorder="1" applyAlignment="1">
      <alignment horizontal="centerContinuous" vertical="center"/>
    </xf>
    <xf numFmtId="0" fontId="10" fillId="5" borderId="6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7" fontId="16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44" fontId="16" fillId="8" borderId="1" xfId="0" applyNumberFormat="1" applyFont="1" applyFill="1" applyBorder="1" applyAlignment="1">
      <alignment horizontal="center" vertical="center"/>
    </xf>
    <xf numFmtId="4" fontId="15" fillId="8" borderId="1" xfId="0" applyNumberFormat="1" applyFont="1" applyFill="1" applyBorder="1" applyAlignment="1">
      <alignment horizontal="left" vertical="center"/>
    </xf>
    <xf numFmtId="165" fontId="15" fillId="8" borderId="1" xfId="1" applyNumberFormat="1" applyFont="1" applyFill="1" applyBorder="1" applyAlignment="1">
      <alignment horizontal="left" vertical="center"/>
    </xf>
    <xf numFmtId="168" fontId="15" fillId="8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/>
    <xf numFmtId="17" fontId="16" fillId="8" borderId="1" xfId="0" applyNumberFormat="1" applyFont="1" applyFill="1" applyBorder="1" applyAlignment="1">
      <alignment horizontal="left" vertical="center" wrapText="1"/>
    </xf>
    <xf numFmtId="0" fontId="0" fillId="8" borderId="0" xfId="0" applyFill="1"/>
    <xf numFmtId="17" fontId="15" fillId="8" borderId="1" xfId="0" applyNumberFormat="1" applyFont="1" applyFill="1" applyBorder="1" applyAlignment="1">
      <alignment horizontal="left" vertical="center"/>
    </xf>
    <xf numFmtId="4" fontId="16" fillId="8" borderId="1" xfId="0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left" vertical="center" wrapText="1"/>
    </xf>
    <xf numFmtId="44" fontId="16" fillId="9" borderId="1" xfId="0" applyNumberFormat="1" applyFont="1" applyFill="1" applyBorder="1" applyAlignment="1">
      <alignment horizontal="center" vertical="center"/>
    </xf>
    <xf numFmtId="4" fontId="15" fillId="9" borderId="1" xfId="0" applyNumberFormat="1" applyFont="1" applyFill="1" applyBorder="1" applyAlignment="1">
      <alignment horizontal="left" vertical="center"/>
    </xf>
    <xf numFmtId="167" fontId="16" fillId="9" borderId="1" xfId="0" applyNumberFormat="1" applyFont="1" applyFill="1" applyBorder="1" applyAlignment="1">
      <alignment horizontal="center" vertical="center"/>
    </xf>
    <xf numFmtId="165" fontId="15" fillId="9" borderId="1" xfId="1" applyNumberFormat="1" applyFont="1" applyFill="1" applyBorder="1" applyAlignment="1">
      <alignment horizontal="left" vertical="center"/>
    </xf>
    <xf numFmtId="168" fontId="15" fillId="9" borderId="1" xfId="0" applyNumberFormat="1" applyFont="1" applyFill="1" applyBorder="1" applyAlignment="1">
      <alignment horizontal="left" vertical="center"/>
    </xf>
    <xf numFmtId="0" fontId="2" fillId="9" borderId="1" xfId="0" applyFont="1" applyFill="1" applyBorder="1"/>
    <xf numFmtId="17" fontId="16" fillId="9" borderId="1" xfId="0" applyNumberFormat="1" applyFont="1" applyFill="1" applyBorder="1" applyAlignment="1">
      <alignment horizontal="left" vertical="center" wrapText="1"/>
    </xf>
    <xf numFmtId="0" fontId="0" fillId="9" borderId="0" xfId="0" applyFill="1"/>
    <xf numFmtId="0" fontId="15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 wrapText="1"/>
    </xf>
    <xf numFmtId="44" fontId="16" fillId="10" borderId="1" xfId="0" applyNumberFormat="1" applyFont="1" applyFill="1" applyBorder="1" applyAlignment="1">
      <alignment horizontal="center" vertical="center"/>
    </xf>
    <xf numFmtId="4" fontId="15" fillId="10" borderId="1" xfId="0" applyNumberFormat="1" applyFont="1" applyFill="1" applyBorder="1" applyAlignment="1">
      <alignment horizontal="left" vertical="center"/>
    </xf>
    <xf numFmtId="167" fontId="16" fillId="10" borderId="1" xfId="0" applyNumberFormat="1" applyFont="1" applyFill="1" applyBorder="1" applyAlignment="1">
      <alignment horizontal="center" vertical="center"/>
    </xf>
    <xf numFmtId="165" fontId="15" fillId="10" borderId="1" xfId="1" applyNumberFormat="1" applyFont="1" applyFill="1" applyBorder="1" applyAlignment="1">
      <alignment horizontal="left" vertical="center"/>
    </xf>
    <xf numFmtId="168" fontId="15" fillId="10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/>
    <xf numFmtId="17" fontId="16" fillId="10" borderId="1" xfId="0" applyNumberFormat="1" applyFont="1" applyFill="1" applyBorder="1" applyAlignment="1">
      <alignment horizontal="left" vertical="center" wrapText="1"/>
    </xf>
    <xf numFmtId="17" fontId="15" fillId="10" borderId="1" xfId="0" applyNumberFormat="1" applyFont="1" applyFill="1" applyBorder="1" applyAlignment="1">
      <alignment horizontal="left" vertical="center"/>
    </xf>
    <xf numFmtId="0" fontId="0" fillId="10" borderId="0" xfId="0" applyFill="1"/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166" fontId="2" fillId="9" borderId="2" xfId="0" applyNumberFormat="1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left" vertical="center" wrapText="1"/>
    </xf>
    <xf numFmtId="167" fontId="16" fillId="9" borderId="2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wrapText="1"/>
    </xf>
    <xf numFmtId="0" fontId="15" fillId="10" borderId="3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/>
    </xf>
    <xf numFmtId="0" fontId="15" fillId="10" borderId="3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left" vertical="center" wrapText="1"/>
    </xf>
    <xf numFmtId="166" fontId="16" fillId="10" borderId="3" xfId="0" applyNumberFormat="1" applyFont="1" applyFill="1" applyBorder="1" applyAlignment="1">
      <alignment horizontal="center" vertical="center"/>
    </xf>
    <xf numFmtId="1" fontId="16" fillId="10" borderId="3" xfId="0" applyNumberFormat="1" applyFont="1" applyFill="1" applyBorder="1" applyAlignment="1">
      <alignment horizontal="center" vertical="center"/>
    </xf>
    <xf numFmtId="4" fontId="15" fillId="10" borderId="3" xfId="0" applyNumberFormat="1" applyFont="1" applyFill="1" applyBorder="1" applyAlignment="1">
      <alignment horizontal="center" vertical="center"/>
    </xf>
    <xf numFmtId="4" fontId="15" fillId="10" borderId="3" xfId="0" applyNumberFormat="1" applyFont="1" applyFill="1" applyBorder="1" applyAlignment="1">
      <alignment horizontal="left" vertical="center"/>
    </xf>
    <xf numFmtId="167" fontId="16" fillId="10" borderId="3" xfId="0" applyNumberFormat="1" applyFont="1" applyFill="1" applyBorder="1" applyAlignment="1">
      <alignment horizontal="center" vertical="center"/>
    </xf>
    <xf numFmtId="165" fontId="15" fillId="10" borderId="3" xfId="1" applyNumberFormat="1" applyFont="1" applyFill="1" applyBorder="1" applyAlignment="1">
      <alignment horizontal="left" vertical="center"/>
    </xf>
    <xf numFmtId="168" fontId="15" fillId="10" borderId="3" xfId="0" applyNumberFormat="1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center" wrapText="1"/>
    </xf>
    <xf numFmtId="4" fontId="15" fillId="10" borderId="1" xfId="0" applyNumberFormat="1" applyFont="1" applyFill="1" applyBorder="1" applyAlignment="1">
      <alignment horizontal="center" vertical="center"/>
    </xf>
    <xf numFmtId="167" fontId="16" fillId="10" borderId="1" xfId="0" applyNumberFormat="1" applyFont="1" applyFill="1" applyBorder="1" applyAlignment="1">
      <alignment horizontal="left" vertical="center" wrapText="1"/>
    </xf>
    <xf numFmtId="4" fontId="16" fillId="10" borderId="1" xfId="0" applyNumberFormat="1" applyFont="1" applyFill="1" applyBorder="1" applyAlignment="1">
      <alignment horizontal="right" vertical="center" wrapText="1"/>
    </xf>
    <xf numFmtId="44" fontId="2" fillId="10" borderId="1" xfId="2" applyFont="1" applyFill="1" applyBorder="1" applyAlignment="1">
      <alignment horizontal="center" vertical="center" wrapText="1"/>
    </xf>
    <xf numFmtId="4" fontId="16" fillId="10" borderId="1" xfId="0" applyNumberFormat="1" applyFont="1" applyFill="1" applyBorder="1" applyAlignment="1">
      <alignment horizontal="left" vertical="center"/>
    </xf>
    <xf numFmtId="0" fontId="16" fillId="1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horizontal="center" vertical="center"/>
    </xf>
    <xf numFmtId="4" fontId="17" fillId="10" borderId="1" xfId="0" applyNumberFormat="1" applyFont="1" applyFill="1" applyBorder="1" applyAlignment="1">
      <alignment horizontal="left" vertical="center"/>
    </xf>
    <xf numFmtId="167" fontId="15" fillId="10" borderId="1" xfId="0" applyNumberFormat="1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left" vertical="center"/>
    </xf>
    <xf numFmtId="44" fontId="15" fillId="10" borderId="1" xfId="2" applyFont="1" applyFill="1" applyBorder="1" applyAlignment="1">
      <alignment horizontal="left" vertical="center"/>
    </xf>
    <xf numFmtId="44" fontId="16" fillId="10" borderId="1" xfId="0" applyNumberFormat="1" applyFont="1" applyFill="1" applyBorder="1" applyAlignment="1">
      <alignment vertical="center" wrapText="1"/>
    </xf>
    <xf numFmtId="14" fontId="16" fillId="10" borderId="1" xfId="0" applyNumberFormat="1" applyFont="1" applyFill="1" applyBorder="1" applyAlignment="1">
      <alignment horizontal="left" vertical="center" wrapText="1"/>
    </xf>
    <xf numFmtId="49" fontId="15" fillId="8" borderId="1" xfId="0" applyNumberFormat="1" applyFont="1" applyFill="1" applyBorder="1" applyAlignment="1">
      <alignment horizontal="center" vertical="center"/>
    </xf>
    <xf numFmtId="4" fontId="18" fillId="0" borderId="17" xfId="0" applyNumberFormat="1" applyFont="1" applyBorder="1" applyAlignment="1">
      <alignment horizontal="center" vertical="center" wrapText="1"/>
    </xf>
    <xf numFmtId="4" fontId="2" fillId="6" borderId="17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2" fillId="7" borderId="17" xfId="0" applyNumberFormat="1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7" fontId="15" fillId="9" borderId="1" xfId="0" applyNumberFormat="1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left" vertical="center" wrapText="1"/>
    </xf>
    <xf numFmtId="0" fontId="15" fillId="11" borderId="3" xfId="0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left" vertical="center" wrapText="1"/>
    </xf>
    <xf numFmtId="166" fontId="16" fillId="11" borderId="3" xfId="0" applyNumberFormat="1" applyFont="1" applyFill="1" applyBorder="1" applyAlignment="1">
      <alignment horizontal="center" vertical="center"/>
    </xf>
    <xf numFmtId="1" fontId="16" fillId="11" borderId="3" xfId="0" applyNumberFormat="1" applyFont="1" applyFill="1" applyBorder="1" applyAlignment="1">
      <alignment horizontal="center" vertical="center"/>
    </xf>
    <xf numFmtId="4" fontId="15" fillId="11" borderId="3" xfId="0" applyNumberFormat="1" applyFont="1" applyFill="1" applyBorder="1" applyAlignment="1">
      <alignment horizontal="center" vertical="center"/>
    </xf>
    <xf numFmtId="4" fontId="15" fillId="11" borderId="3" xfId="0" applyNumberFormat="1" applyFont="1" applyFill="1" applyBorder="1" applyAlignment="1">
      <alignment horizontal="left" vertical="center"/>
    </xf>
    <xf numFmtId="167" fontId="16" fillId="11" borderId="3" xfId="0" applyNumberFormat="1" applyFont="1" applyFill="1" applyBorder="1" applyAlignment="1">
      <alignment horizontal="center" vertical="center"/>
    </xf>
    <xf numFmtId="165" fontId="15" fillId="11" borderId="3" xfId="1" applyNumberFormat="1" applyFont="1" applyFill="1" applyBorder="1" applyAlignment="1">
      <alignment horizontal="left" vertical="center"/>
    </xf>
    <xf numFmtId="168" fontId="15" fillId="11" borderId="3" xfId="0" applyNumberFormat="1" applyFont="1" applyFill="1" applyBorder="1" applyAlignment="1">
      <alignment horizontal="left" vertical="center"/>
    </xf>
    <xf numFmtId="0" fontId="2" fillId="11" borderId="3" xfId="0" applyFont="1" applyFill="1" applyBorder="1" applyAlignment="1">
      <alignment horizontal="center" wrapText="1"/>
    </xf>
    <xf numFmtId="0" fontId="0" fillId="11" borderId="0" xfId="0" applyFill="1"/>
    <xf numFmtId="0" fontId="15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left" vertical="center" wrapText="1"/>
    </xf>
    <xf numFmtId="44" fontId="16" fillId="11" borderId="1" xfId="0" applyNumberFormat="1" applyFont="1" applyFill="1" applyBorder="1" applyAlignment="1">
      <alignment horizontal="center" vertical="center"/>
    </xf>
    <xf numFmtId="4" fontId="15" fillId="11" borderId="1" xfId="0" applyNumberFormat="1" applyFont="1" applyFill="1" applyBorder="1" applyAlignment="1">
      <alignment horizontal="center" vertical="center"/>
    </xf>
    <xf numFmtId="4" fontId="15" fillId="11" borderId="1" xfId="0" applyNumberFormat="1" applyFont="1" applyFill="1" applyBorder="1" applyAlignment="1">
      <alignment horizontal="left" vertical="center"/>
    </xf>
    <xf numFmtId="167" fontId="16" fillId="11" borderId="1" xfId="0" applyNumberFormat="1" applyFont="1" applyFill="1" applyBorder="1" applyAlignment="1">
      <alignment horizontal="center" vertical="center"/>
    </xf>
    <xf numFmtId="167" fontId="16" fillId="11" borderId="1" xfId="0" applyNumberFormat="1" applyFont="1" applyFill="1" applyBorder="1" applyAlignment="1">
      <alignment horizontal="left" vertical="center" wrapText="1"/>
    </xf>
    <xf numFmtId="168" fontId="15" fillId="11" borderId="1" xfId="0" applyNumberFormat="1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wrapText="1"/>
    </xf>
    <xf numFmtId="165" fontId="15" fillId="11" borderId="1" xfId="1" applyNumberFormat="1" applyFont="1" applyFill="1" applyBorder="1" applyAlignment="1">
      <alignment horizontal="left" vertical="center"/>
    </xf>
    <xf numFmtId="4" fontId="16" fillId="11" borderId="1" xfId="0" applyNumberFormat="1" applyFont="1" applyFill="1" applyBorder="1" applyAlignment="1">
      <alignment horizontal="right" vertical="center" wrapText="1"/>
    </xf>
    <xf numFmtId="44" fontId="2" fillId="11" borderId="1" xfId="2" applyFont="1" applyFill="1" applyBorder="1" applyAlignment="1">
      <alignment horizontal="center" vertical="center" wrapText="1"/>
    </xf>
    <xf numFmtId="4" fontId="16" fillId="11" borderId="1" xfId="0" applyNumberFormat="1" applyFont="1" applyFill="1" applyBorder="1" applyAlignment="1">
      <alignment horizontal="left" vertical="center"/>
    </xf>
    <xf numFmtId="0" fontId="16" fillId="11" borderId="1" xfId="0" applyFont="1" applyFill="1" applyBorder="1" applyAlignment="1">
      <alignment vertical="center" wrapText="1"/>
    </xf>
    <xf numFmtId="17" fontId="15" fillId="11" borderId="1" xfId="0" applyNumberFormat="1" applyFont="1" applyFill="1" applyBorder="1" applyAlignment="1">
      <alignment horizontal="left" vertical="center"/>
    </xf>
    <xf numFmtId="17" fontId="16" fillId="11" borderId="1" xfId="0" applyNumberFormat="1" applyFont="1" applyFill="1" applyBorder="1" applyAlignment="1">
      <alignment horizontal="left" vertical="center" wrapText="1"/>
    </xf>
    <xf numFmtId="0" fontId="16" fillId="11" borderId="1" xfId="0" applyFont="1" applyFill="1" applyBorder="1" applyAlignment="1">
      <alignment horizontal="center" vertical="center"/>
    </xf>
    <xf numFmtId="4" fontId="17" fillId="11" borderId="1" xfId="0" applyNumberFormat="1" applyFont="1" applyFill="1" applyBorder="1" applyAlignment="1">
      <alignment horizontal="left" vertical="center"/>
    </xf>
    <xf numFmtId="0" fontId="2" fillId="11" borderId="1" xfId="0" applyFont="1" applyFill="1" applyBorder="1"/>
    <xf numFmtId="167" fontId="15" fillId="11" borderId="1" xfId="0" applyNumberFormat="1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44" fontId="15" fillId="11" borderId="1" xfId="2" applyFont="1" applyFill="1" applyBorder="1" applyAlignment="1">
      <alignment horizontal="left" vertical="center"/>
    </xf>
    <xf numFmtId="44" fontId="16" fillId="11" borderId="1" xfId="0" applyNumberFormat="1" applyFont="1" applyFill="1" applyBorder="1" applyAlignment="1">
      <alignment vertical="center" wrapText="1"/>
    </xf>
    <xf numFmtId="14" fontId="16" fillId="11" borderId="1" xfId="0" applyNumberFormat="1" applyFont="1" applyFill="1" applyBorder="1" applyAlignment="1">
      <alignment horizontal="left" vertical="center" wrapText="1"/>
    </xf>
    <xf numFmtId="49" fontId="15" fillId="11" borderId="1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66" fontId="2" fillId="11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left" vertical="center" wrapText="1"/>
    </xf>
    <xf numFmtId="167" fontId="16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Continuous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0" fillId="12" borderId="0" xfId="0" applyFill="1"/>
    <xf numFmtId="0" fontId="10" fillId="12" borderId="10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left" vertical="center"/>
    </xf>
    <xf numFmtId="166" fontId="10" fillId="12" borderId="5" xfId="0" applyNumberFormat="1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left" vertical="center" wrapText="1"/>
    </xf>
    <xf numFmtId="166" fontId="3" fillId="12" borderId="5" xfId="0" applyNumberFormat="1" applyFont="1" applyFill="1" applyBorder="1" applyAlignment="1">
      <alignment horizontal="center" vertical="center"/>
    </xf>
    <xf numFmtId="17" fontId="3" fillId="12" borderId="5" xfId="0" applyNumberFormat="1" applyFont="1" applyFill="1" applyBorder="1" applyAlignment="1">
      <alignment horizontal="center" vertical="center"/>
    </xf>
    <xf numFmtId="167" fontId="11" fillId="12" borderId="5" xfId="0" applyNumberFormat="1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82"/>
  <sheetViews>
    <sheetView showGridLines="0" tabSelected="1" topLeftCell="C1" zoomScale="60" zoomScaleNormal="60" zoomScaleSheetLayoutView="70" workbookViewId="0">
      <selection activeCell="Z63" sqref="Z63"/>
    </sheetView>
  </sheetViews>
  <sheetFormatPr defaultColWidth="9.28515625" defaultRowHeight="70.5" customHeight="1" x14ac:dyDescent="0.25"/>
  <cols>
    <col min="1" max="1" width="25.28515625" customWidth="1"/>
    <col min="2" max="2" width="16.28515625" customWidth="1"/>
    <col min="3" max="4" width="12.28515625" customWidth="1"/>
    <col min="5" max="5" width="14.140625" customWidth="1"/>
    <col min="6" max="6" width="11.7109375" customWidth="1"/>
    <col min="7" max="7" width="11.7109375" hidden="1" customWidth="1"/>
    <col min="8" max="8" width="43.7109375" customWidth="1"/>
    <col min="9" max="9" width="48.140625" customWidth="1"/>
    <col min="10" max="10" width="14.28515625" hidden="1" customWidth="1"/>
    <col min="11" max="11" width="26.28515625" customWidth="1"/>
    <col min="12" max="12" width="16.28515625" hidden="1" customWidth="1"/>
    <col min="13" max="14" width="11.28515625" hidden="1" customWidth="1"/>
    <col min="15" max="15" width="17.28515625" hidden="1" customWidth="1"/>
    <col min="16" max="16" width="66.28515625" customWidth="1"/>
    <col min="17" max="17" width="20.7109375" hidden="1" customWidth="1"/>
    <col min="18" max="18" width="25.140625" hidden="1" customWidth="1"/>
    <col min="19" max="19" width="17.7109375" hidden="1" customWidth="1"/>
    <col min="20" max="20" width="14.28515625" hidden="1" customWidth="1"/>
    <col min="21" max="21" width="16.28515625" hidden="1" customWidth="1"/>
    <col min="22" max="22" width="14.28515625" hidden="1" customWidth="1"/>
    <col min="23" max="23" width="71.7109375" hidden="1" customWidth="1"/>
    <col min="24" max="24" width="18.28515625" customWidth="1"/>
    <col min="25" max="27" width="19.28515625" customWidth="1"/>
    <col min="28" max="28" width="17" customWidth="1"/>
    <col min="29" max="29" width="12.28515625" customWidth="1"/>
    <col min="30" max="31" width="13.28515625" customWidth="1"/>
    <col min="32" max="32" width="15" bestFit="1" customWidth="1"/>
    <col min="33" max="33" width="11.28515625" customWidth="1"/>
    <col min="34" max="34" width="12.28515625" customWidth="1"/>
    <col min="35" max="35" width="21.28515625" customWidth="1"/>
    <col min="36" max="36" width="14.7109375" customWidth="1"/>
    <col min="37" max="37" width="14.28515625" customWidth="1"/>
  </cols>
  <sheetData>
    <row r="1" spans="1:36" ht="21.75" thickBot="1" x14ac:dyDescent="0.3">
      <c r="A1" s="19" t="s">
        <v>161</v>
      </c>
      <c r="B1" s="20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  <c r="S1" s="21"/>
      <c r="T1" s="21"/>
      <c r="U1" s="21"/>
      <c r="V1" s="21"/>
      <c r="W1" s="21"/>
      <c r="X1" s="22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3"/>
    </row>
    <row r="2" spans="1:36" ht="39" thickBot="1" x14ac:dyDescent="0.3">
      <c r="A2" s="27" t="s">
        <v>0</v>
      </c>
      <c r="B2" s="28"/>
      <c r="C2" s="28"/>
      <c r="D2" s="28"/>
      <c r="E2" s="28"/>
      <c r="F2" s="28"/>
      <c r="G2" s="28" t="s">
        <v>1</v>
      </c>
      <c r="H2" s="28"/>
      <c r="I2" s="28"/>
      <c r="J2" s="29" t="s">
        <v>5</v>
      </c>
      <c r="K2" s="29"/>
      <c r="L2" s="29"/>
      <c r="M2" s="29"/>
      <c r="N2" s="29"/>
      <c r="O2" s="28" t="s">
        <v>32</v>
      </c>
      <c r="P2" s="28"/>
      <c r="Q2" s="28" t="s">
        <v>34</v>
      </c>
      <c r="R2" s="28"/>
      <c r="S2" s="28"/>
      <c r="T2" s="28"/>
      <c r="U2" s="28"/>
      <c r="V2" s="28"/>
      <c r="W2" s="28"/>
      <c r="X2" s="28" t="s">
        <v>35</v>
      </c>
      <c r="Y2" s="28"/>
      <c r="Z2" s="28"/>
      <c r="AA2" s="28"/>
      <c r="AB2" s="28"/>
      <c r="AC2" s="28" t="s">
        <v>36</v>
      </c>
      <c r="AD2" s="28"/>
      <c r="AE2" s="28"/>
      <c r="AF2" s="28"/>
      <c r="AG2" s="28"/>
      <c r="AH2" s="29" t="s">
        <v>6</v>
      </c>
      <c r="AI2" s="29"/>
      <c r="AJ2" s="30"/>
    </row>
    <row r="3" spans="1:36" s="177" customFormat="1" ht="39.75" customHeight="1" x14ac:dyDescent="0.25">
      <c r="A3" s="171" t="s">
        <v>25</v>
      </c>
      <c r="B3" s="172" t="s">
        <v>24</v>
      </c>
      <c r="C3" s="172" t="s">
        <v>23</v>
      </c>
      <c r="D3" s="172" t="s">
        <v>22</v>
      </c>
      <c r="E3" s="172" t="s">
        <v>157</v>
      </c>
      <c r="F3" s="172" t="s">
        <v>21</v>
      </c>
      <c r="G3" s="172" t="s">
        <v>20</v>
      </c>
      <c r="H3" s="173" t="s">
        <v>19</v>
      </c>
      <c r="I3" s="172" t="s">
        <v>2</v>
      </c>
      <c r="J3" s="172" t="s">
        <v>18</v>
      </c>
      <c r="K3" s="172" t="s">
        <v>158</v>
      </c>
      <c r="L3" s="172" t="s">
        <v>17</v>
      </c>
      <c r="M3" s="172" t="s">
        <v>16</v>
      </c>
      <c r="N3" s="172" t="s">
        <v>15</v>
      </c>
      <c r="O3" s="172" t="s">
        <v>26</v>
      </c>
      <c r="P3" s="172" t="s">
        <v>33</v>
      </c>
      <c r="Q3" s="174" t="s">
        <v>30</v>
      </c>
      <c r="R3" s="174"/>
      <c r="S3" s="174"/>
      <c r="T3" s="174"/>
      <c r="U3" s="172" t="s">
        <v>31</v>
      </c>
      <c r="V3" s="172"/>
      <c r="W3" s="172" t="s">
        <v>4</v>
      </c>
      <c r="X3" s="172">
        <v>2024</v>
      </c>
      <c r="Y3" s="175"/>
      <c r="Z3" s="175"/>
      <c r="AA3" s="175"/>
      <c r="AB3" s="172" t="s">
        <v>37</v>
      </c>
      <c r="AC3" s="172" t="s">
        <v>14</v>
      </c>
      <c r="AD3" s="172" t="s">
        <v>13</v>
      </c>
      <c r="AE3" s="172" t="s">
        <v>12</v>
      </c>
      <c r="AF3" s="172" t="s">
        <v>11</v>
      </c>
      <c r="AG3" s="172" t="s">
        <v>10</v>
      </c>
      <c r="AH3" s="172" t="s">
        <v>3</v>
      </c>
      <c r="AI3" s="172" t="s">
        <v>159</v>
      </c>
      <c r="AJ3" s="176" t="s">
        <v>160</v>
      </c>
    </row>
    <row r="4" spans="1:36" s="177" customFormat="1" ht="51.75" thickBot="1" x14ac:dyDescent="0.3">
      <c r="A4" s="178"/>
      <c r="B4" s="179"/>
      <c r="C4" s="179"/>
      <c r="D4" s="179"/>
      <c r="E4" s="179"/>
      <c r="F4" s="179"/>
      <c r="G4" s="179"/>
      <c r="H4" s="180"/>
      <c r="I4" s="179"/>
      <c r="J4" s="179"/>
      <c r="K4" s="179"/>
      <c r="L4" s="179"/>
      <c r="M4" s="179"/>
      <c r="N4" s="179"/>
      <c r="O4" s="179"/>
      <c r="P4" s="179"/>
      <c r="Q4" s="181" t="s">
        <v>27</v>
      </c>
      <c r="R4" s="181" t="s">
        <v>7</v>
      </c>
      <c r="S4" s="181" t="s">
        <v>8</v>
      </c>
      <c r="T4" s="181" t="s">
        <v>9</v>
      </c>
      <c r="U4" s="181" t="s">
        <v>28</v>
      </c>
      <c r="V4" s="181" t="s">
        <v>29</v>
      </c>
      <c r="W4" s="179"/>
      <c r="X4" s="179"/>
      <c r="Y4" s="181" t="s">
        <v>183</v>
      </c>
      <c r="Z4" s="181">
        <v>2025</v>
      </c>
      <c r="AA4" s="181">
        <v>2026</v>
      </c>
      <c r="AB4" s="179"/>
      <c r="AC4" s="179"/>
      <c r="AD4" s="179"/>
      <c r="AE4" s="179"/>
      <c r="AF4" s="179"/>
      <c r="AG4" s="179"/>
      <c r="AH4" s="179"/>
      <c r="AI4" s="179"/>
      <c r="AJ4" s="182"/>
    </row>
    <row r="5" spans="1:36" s="138" customFormat="1" ht="45" customHeight="1" x14ac:dyDescent="0.25">
      <c r="A5" s="126" t="s">
        <v>38</v>
      </c>
      <c r="B5" s="127" t="s">
        <v>39</v>
      </c>
      <c r="C5" s="127" t="s">
        <v>39</v>
      </c>
      <c r="D5" s="127" t="s">
        <v>39</v>
      </c>
      <c r="E5" s="128">
        <v>2</v>
      </c>
      <c r="F5" s="127" t="s">
        <v>40</v>
      </c>
      <c r="G5" s="128" t="s">
        <v>41</v>
      </c>
      <c r="H5" s="129" t="s">
        <v>42</v>
      </c>
      <c r="I5" s="129" t="s">
        <v>43</v>
      </c>
      <c r="J5" s="127"/>
      <c r="K5" s="130">
        <v>9931588.1899999995</v>
      </c>
      <c r="L5" s="131">
        <v>144000</v>
      </c>
      <c r="M5" s="132">
        <f t="shared" ref="M5" si="0">K5/L5</f>
        <v>68.969362430555549</v>
      </c>
      <c r="N5" s="133"/>
      <c r="O5" s="128">
        <v>9</v>
      </c>
      <c r="P5" s="126" t="s">
        <v>44</v>
      </c>
      <c r="Q5" s="134">
        <f t="shared" ref="Q5" si="1">K5*0.95</f>
        <v>9435008.7804999985</v>
      </c>
      <c r="R5" s="134">
        <f t="shared" ref="R5" si="2">K5*0.05</f>
        <v>496579.40950000001</v>
      </c>
      <c r="S5" s="127"/>
      <c r="T5" s="135"/>
      <c r="U5" s="127"/>
      <c r="V5" s="136"/>
      <c r="W5" s="126"/>
      <c r="X5" s="137"/>
      <c r="Y5" s="134"/>
      <c r="Z5" s="134">
        <v>5343702.9000000004</v>
      </c>
      <c r="AA5" s="134"/>
      <c r="AB5" s="137"/>
      <c r="AC5" s="127" t="s">
        <v>45</v>
      </c>
      <c r="AD5" s="127"/>
      <c r="AE5" s="129" t="s">
        <v>46</v>
      </c>
      <c r="AF5" s="129" t="s">
        <v>46</v>
      </c>
      <c r="AG5" s="129" t="s">
        <v>46</v>
      </c>
      <c r="AH5" s="127"/>
      <c r="AI5" s="134">
        <v>213748.11</v>
      </c>
      <c r="AJ5" s="127"/>
    </row>
    <row r="6" spans="1:36" s="138" customFormat="1" ht="45" customHeight="1" x14ac:dyDescent="0.25">
      <c r="A6" s="139" t="s">
        <v>38</v>
      </c>
      <c r="B6" s="140" t="s">
        <v>39</v>
      </c>
      <c r="C6" s="140" t="s">
        <v>39</v>
      </c>
      <c r="D6" s="140" t="s">
        <v>39</v>
      </c>
      <c r="E6" s="141">
        <v>4</v>
      </c>
      <c r="F6" s="140" t="s">
        <v>40</v>
      </c>
      <c r="G6" s="141" t="s">
        <v>41</v>
      </c>
      <c r="H6" s="142" t="s">
        <v>42</v>
      </c>
      <c r="I6" s="142" t="s">
        <v>48</v>
      </c>
      <c r="J6" s="140"/>
      <c r="K6" s="143">
        <v>795000</v>
      </c>
      <c r="L6" s="141">
        <v>6600</v>
      </c>
      <c r="M6" s="144">
        <f>K6/L6</f>
        <v>120.45454545454545</v>
      </c>
      <c r="N6" s="145"/>
      <c r="O6" s="141"/>
      <c r="P6" s="139" t="s">
        <v>49</v>
      </c>
      <c r="Q6" s="146"/>
      <c r="R6" s="146">
        <v>795000</v>
      </c>
      <c r="S6" s="140"/>
      <c r="T6" s="147"/>
      <c r="U6" s="140"/>
      <c r="V6" s="148"/>
      <c r="W6" s="139"/>
      <c r="X6" s="149"/>
      <c r="Y6" s="146"/>
      <c r="Z6" s="146">
        <f>R6</f>
        <v>795000</v>
      </c>
      <c r="AA6" s="146"/>
      <c r="AB6" s="149"/>
      <c r="AC6" s="140" t="s">
        <v>45</v>
      </c>
      <c r="AD6" s="140"/>
      <c r="AE6" s="142" t="s">
        <v>46</v>
      </c>
      <c r="AF6" s="142" t="s">
        <v>46</v>
      </c>
      <c r="AG6" s="142" t="s">
        <v>46</v>
      </c>
      <c r="AH6" s="140"/>
      <c r="AI6" s="146">
        <v>50000</v>
      </c>
      <c r="AJ6" s="140"/>
    </row>
    <row r="7" spans="1:36" s="138" customFormat="1" ht="45" customHeight="1" x14ac:dyDescent="0.25">
      <c r="A7" s="139" t="s">
        <v>38</v>
      </c>
      <c r="B7" s="140" t="s">
        <v>39</v>
      </c>
      <c r="C7" s="140" t="s">
        <v>39</v>
      </c>
      <c r="D7" s="140" t="s">
        <v>39</v>
      </c>
      <c r="E7" s="141">
        <v>13</v>
      </c>
      <c r="F7" s="140" t="s">
        <v>40</v>
      </c>
      <c r="G7" s="141" t="s">
        <v>41</v>
      </c>
      <c r="H7" s="142" t="s">
        <v>50</v>
      </c>
      <c r="I7" s="142" t="s">
        <v>51</v>
      </c>
      <c r="J7" s="140"/>
      <c r="K7" s="143">
        <f>1243069-121465.19-50956.71-22896.35-187764.68</f>
        <v>859986.07000000007</v>
      </c>
      <c r="L7" s="140"/>
      <c r="M7" s="145"/>
      <c r="N7" s="145"/>
      <c r="O7" s="140"/>
      <c r="P7" s="139" t="s">
        <v>52</v>
      </c>
      <c r="Q7" s="146"/>
      <c r="R7" s="146">
        <f>1243069-121465.19-50956.71-22896.35-187764.68</f>
        <v>859986.07000000007</v>
      </c>
      <c r="S7" s="140"/>
      <c r="T7" s="150"/>
      <c r="U7" s="140"/>
      <c r="V7" s="148"/>
      <c r="W7" s="139"/>
      <c r="X7" s="149"/>
      <c r="Y7" s="151"/>
      <c r="Z7" s="146">
        <f>R7</f>
        <v>859986.07000000007</v>
      </c>
      <c r="AA7" s="151"/>
      <c r="AB7" s="149"/>
      <c r="AC7" s="140" t="s">
        <v>45</v>
      </c>
      <c r="AD7" s="140"/>
      <c r="AE7" s="142" t="s">
        <v>46</v>
      </c>
      <c r="AF7" s="142" t="s">
        <v>46</v>
      </c>
      <c r="AG7" s="142" t="s">
        <v>46</v>
      </c>
      <c r="AH7" s="140"/>
      <c r="AI7" s="146">
        <v>74585</v>
      </c>
      <c r="AJ7" s="140"/>
    </row>
    <row r="8" spans="1:36" s="138" customFormat="1" ht="45" customHeight="1" x14ac:dyDescent="0.25">
      <c r="A8" s="139" t="s">
        <v>38</v>
      </c>
      <c r="B8" s="140" t="s">
        <v>39</v>
      </c>
      <c r="C8" s="140" t="s">
        <v>39</v>
      </c>
      <c r="D8" s="140" t="s">
        <v>39</v>
      </c>
      <c r="E8" s="141">
        <v>13</v>
      </c>
      <c r="F8" s="140" t="s">
        <v>40</v>
      </c>
      <c r="G8" s="141" t="s">
        <v>41</v>
      </c>
      <c r="H8" s="142" t="s">
        <v>50</v>
      </c>
      <c r="I8" s="142" t="s">
        <v>51</v>
      </c>
      <c r="J8" s="140"/>
      <c r="K8" s="143">
        <v>1027228</v>
      </c>
      <c r="L8" s="140"/>
      <c r="M8" s="145"/>
      <c r="N8" s="145"/>
      <c r="O8" s="140"/>
      <c r="P8" s="139" t="s">
        <v>53</v>
      </c>
      <c r="Q8" s="146"/>
      <c r="R8" s="146">
        <f>K8</f>
        <v>1027228</v>
      </c>
      <c r="S8" s="140"/>
      <c r="T8" s="150"/>
      <c r="U8" s="140"/>
      <c r="V8" s="148"/>
      <c r="W8" s="139"/>
      <c r="X8" s="149"/>
      <c r="Y8" s="151"/>
      <c r="Z8" s="146">
        <f>551582.42+404702.96</f>
        <v>956285.38000000012</v>
      </c>
      <c r="AA8" s="151"/>
      <c r="AB8" s="149"/>
      <c r="AC8" s="140" t="s">
        <v>45</v>
      </c>
      <c r="AD8" s="140"/>
      <c r="AE8" s="142" t="s">
        <v>46</v>
      </c>
      <c r="AF8" s="142" t="s">
        <v>46</v>
      </c>
      <c r="AG8" s="142" t="s">
        <v>46</v>
      </c>
      <c r="AH8" s="140"/>
      <c r="AI8" s="146">
        <v>75000</v>
      </c>
      <c r="AJ8" s="140"/>
    </row>
    <row r="9" spans="1:36" s="138" customFormat="1" ht="45" customHeight="1" x14ac:dyDescent="0.25">
      <c r="A9" s="139" t="s">
        <v>38</v>
      </c>
      <c r="B9" s="140" t="s">
        <v>39</v>
      </c>
      <c r="C9" s="140" t="s">
        <v>39</v>
      </c>
      <c r="D9" s="140" t="s">
        <v>39</v>
      </c>
      <c r="E9" s="141">
        <v>13</v>
      </c>
      <c r="F9" s="140" t="s">
        <v>40</v>
      </c>
      <c r="G9" s="141" t="s">
        <v>41</v>
      </c>
      <c r="H9" s="142" t="s">
        <v>54</v>
      </c>
      <c r="I9" s="142" t="s">
        <v>55</v>
      </c>
      <c r="J9" s="140"/>
      <c r="K9" s="143">
        <v>5996265</v>
      </c>
      <c r="L9" s="141">
        <v>2325</v>
      </c>
      <c r="M9" s="145">
        <v>2579.04</v>
      </c>
      <c r="N9" s="145"/>
      <c r="O9" s="140"/>
      <c r="P9" s="139" t="s">
        <v>56</v>
      </c>
      <c r="Q9" s="146">
        <f t="shared" ref="Q9" si="3">K9*0.95</f>
        <v>5696451.75</v>
      </c>
      <c r="R9" s="146">
        <f t="shared" ref="R9" si="4">K9*0.05</f>
        <v>299813.25</v>
      </c>
      <c r="S9" s="140"/>
      <c r="T9" s="150"/>
      <c r="U9" s="140"/>
      <c r="V9" s="148"/>
      <c r="W9" s="139"/>
      <c r="X9" s="143">
        <f>5996265/3</f>
        <v>1998755</v>
      </c>
      <c r="Y9" s="146"/>
      <c r="Z9" s="146">
        <v>1998755</v>
      </c>
      <c r="AA9" s="146"/>
      <c r="AB9" s="152">
        <v>1998755</v>
      </c>
      <c r="AC9" s="140" t="s">
        <v>47</v>
      </c>
      <c r="AD9" s="140"/>
      <c r="AE9" s="142" t="s">
        <v>46</v>
      </c>
      <c r="AF9" s="142" t="s">
        <v>46</v>
      </c>
      <c r="AG9" s="142" t="s">
        <v>46</v>
      </c>
      <c r="AH9" s="140"/>
      <c r="AI9" s="146">
        <v>90000</v>
      </c>
      <c r="AJ9" s="140"/>
    </row>
    <row r="10" spans="1:36" s="138" customFormat="1" ht="45" customHeight="1" x14ac:dyDescent="0.25">
      <c r="A10" s="139" t="s">
        <v>38</v>
      </c>
      <c r="B10" s="140" t="s">
        <v>39</v>
      </c>
      <c r="C10" s="140" t="s">
        <v>39</v>
      </c>
      <c r="D10" s="140" t="s">
        <v>39</v>
      </c>
      <c r="E10" s="141" t="s">
        <v>57</v>
      </c>
      <c r="F10" s="140" t="s">
        <v>40</v>
      </c>
      <c r="G10" s="141" t="s">
        <v>41</v>
      </c>
      <c r="H10" s="142" t="s">
        <v>58</v>
      </c>
      <c r="I10" s="142" t="s">
        <v>162</v>
      </c>
      <c r="J10" s="140"/>
      <c r="K10" s="143">
        <v>284088.07</v>
      </c>
      <c r="L10" s="141">
        <v>4460</v>
      </c>
      <c r="M10" s="153">
        <f>K10/L10</f>
        <v>63.696876681614349</v>
      </c>
      <c r="N10" s="145"/>
      <c r="O10" s="141">
        <v>3</v>
      </c>
      <c r="P10" s="139" t="s">
        <v>59</v>
      </c>
      <c r="Q10" s="146">
        <f>K10*0.95</f>
        <v>269883.66649999999</v>
      </c>
      <c r="R10" s="146">
        <f>K10*0.05</f>
        <v>14204.4035</v>
      </c>
      <c r="S10" s="140"/>
      <c r="T10" s="150"/>
      <c r="U10" s="140"/>
      <c r="V10" s="148"/>
      <c r="W10" s="139"/>
      <c r="X10" s="149"/>
      <c r="Y10" s="146"/>
      <c r="Z10" s="146">
        <v>284088.07</v>
      </c>
      <c r="AA10" s="146"/>
      <c r="AB10" s="149"/>
      <c r="AC10" s="140" t="s">
        <v>45</v>
      </c>
      <c r="AD10" s="140"/>
      <c r="AE10" s="142" t="s">
        <v>46</v>
      </c>
      <c r="AF10" s="142" t="s">
        <v>46</v>
      </c>
      <c r="AG10" s="142" t="s">
        <v>46</v>
      </c>
      <c r="AH10" s="140"/>
      <c r="AI10" s="146">
        <f>Z10*0.15</f>
        <v>42613.210500000001</v>
      </c>
      <c r="AJ10" s="140"/>
    </row>
    <row r="11" spans="1:36" s="138" customFormat="1" ht="45" customHeight="1" x14ac:dyDescent="0.25">
      <c r="A11" s="139" t="s">
        <v>38</v>
      </c>
      <c r="B11" s="140" t="s">
        <v>39</v>
      </c>
      <c r="C11" s="140" t="s">
        <v>39</v>
      </c>
      <c r="D11" s="140" t="s">
        <v>39</v>
      </c>
      <c r="E11" s="141" t="s">
        <v>60</v>
      </c>
      <c r="F11" s="140" t="s">
        <v>40</v>
      </c>
      <c r="G11" s="141" t="s">
        <v>41</v>
      </c>
      <c r="H11" s="142" t="s">
        <v>61</v>
      </c>
      <c r="I11" s="142" t="s">
        <v>62</v>
      </c>
      <c r="J11" s="140"/>
      <c r="K11" s="143">
        <v>2750000</v>
      </c>
      <c r="L11" s="141">
        <v>3480</v>
      </c>
      <c r="M11" s="153">
        <f>K11/L11</f>
        <v>790.22988505747128</v>
      </c>
      <c r="N11" s="145"/>
      <c r="O11" s="141">
        <v>19</v>
      </c>
      <c r="P11" s="139" t="s">
        <v>63</v>
      </c>
      <c r="Q11" s="146"/>
      <c r="R11" s="146">
        <v>2750000</v>
      </c>
      <c r="S11" s="154"/>
      <c r="T11" s="154"/>
      <c r="U11" s="140"/>
      <c r="V11" s="148"/>
      <c r="W11" s="139"/>
      <c r="X11" s="146">
        <v>2750000</v>
      </c>
      <c r="Y11" s="149"/>
      <c r="Z11" s="149"/>
      <c r="AA11" s="149"/>
      <c r="AB11" s="149"/>
      <c r="AC11" s="140"/>
      <c r="AD11" s="155">
        <v>45017</v>
      </c>
      <c r="AE11" s="142" t="s">
        <v>46</v>
      </c>
      <c r="AF11" s="156">
        <v>45261</v>
      </c>
      <c r="AG11" s="142" t="s">
        <v>46</v>
      </c>
      <c r="AH11" s="140"/>
      <c r="AI11" s="146">
        <f>160080+52863</f>
        <v>212943</v>
      </c>
      <c r="AJ11" s="140"/>
    </row>
    <row r="12" spans="1:36" s="138" customFormat="1" ht="45" customHeight="1" x14ac:dyDescent="0.25">
      <c r="A12" s="139" t="s">
        <v>38</v>
      </c>
      <c r="B12" s="140" t="s">
        <v>39</v>
      </c>
      <c r="C12" s="140" t="s">
        <v>39</v>
      </c>
      <c r="D12" s="140" t="s">
        <v>39</v>
      </c>
      <c r="E12" s="141" t="s">
        <v>129</v>
      </c>
      <c r="F12" s="140" t="s">
        <v>40</v>
      </c>
      <c r="G12" s="141" t="s">
        <v>41</v>
      </c>
      <c r="H12" s="142" t="s">
        <v>131</v>
      </c>
      <c r="I12" s="142" t="s">
        <v>132</v>
      </c>
      <c r="J12" s="142"/>
      <c r="K12" s="143">
        <v>268000</v>
      </c>
      <c r="L12" s="141" t="s">
        <v>133</v>
      </c>
      <c r="M12" s="145" t="s">
        <v>133</v>
      </c>
      <c r="N12" s="145"/>
      <c r="O12" s="141"/>
      <c r="P12" s="142" t="s">
        <v>135</v>
      </c>
      <c r="Q12" s="146"/>
      <c r="R12" s="146"/>
      <c r="S12" s="140"/>
      <c r="T12" s="150"/>
      <c r="U12" s="140"/>
      <c r="V12" s="140"/>
      <c r="W12" s="139"/>
      <c r="X12" s="146">
        <v>268000</v>
      </c>
      <c r="Y12" s="146">
        <v>268000</v>
      </c>
      <c r="Z12" s="146">
        <v>268000</v>
      </c>
      <c r="AA12" s="143"/>
      <c r="AB12" s="149"/>
      <c r="AC12" s="140" t="s">
        <v>47</v>
      </c>
      <c r="AD12" s="140"/>
      <c r="AE12" s="142" t="s">
        <v>46</v>
      </c>
      <c r="AF12" s="142" t="s">
        <v>46</v>
      </c>
      <c r="AG12" s="142" t="s">
        <v>46</v>
      </c>
      <c r="AH12" s="140"/>
      <c r="AI12" s="146">
        <f>X12*0.1</f>
        <v>26800</v>
      </c>
      <c r="AJ12" s="140"/>
    </row>
    <row r="13" spans="1:36" s="138" customFormat="1" ht="45" customHeight="1" x14ac:dyDescent="0.25">
      <c r="A13" s="139" t="s">
        <v>38</v>
      </c>
      <c r="B13" s="140" t="s">
        <v>39</v>
      </c>
      <c r="C13" s="140" t="s">
        <v>39</v>
      </c>
      <c r="D13" s="140" t="s">
        <v>39</v>
      </c>
      <c r="E13" s="141" t="s">
        <v>129</v>
      </c>
      <c r="F13" s="140" t="s">
        <v>40</v>
      </c>
      <c r="G13" s="141" t="s">
        <v>41</v>
      </c>
      <c r="H13" s="142" t="s">
        <v>131</v>
      </c>
      <c r="I13" s="142" t="s">
        <v>163</v>
      </c>
      <c r="J13" s="142"/>
      <c r="K13" s="143">
        <v>170000</v>
      </c>
      <c r="L13" s="141" t="s">
        <v>133</v>
      </c>
      <c r="M13" s="145" t="s">
        <v>133</v>
      </c>
      <c r="N13" s="145"/>
      <c r="O13" s="141" t="s">
        <v>134</v>
      </c>
      <c r="P13" s="142" t="s">
        <v>135</v>
      </c>
      <c r="Q13" s="146"/>
      <c r="R13" s="146"/>
      <c r="S13" s="140"/>
      <c r="T13" s="150"/>
      <c r="U13" s="140"/>
      <c r="V13" s="140"/>
      <c r="W13" s="139"/>
      <c r="X13" s="146">
        <v>170000</v>
      </c>
      <c r="Y13" s="146">
        <v>170000</v>
      </c>
      <c r="Z13" s="146">
        <v>372000</v>
      </c>
      <c r="AA13" s="143"/>
      <c r="AB13" s="149"/>
      <c r="AC13" s="140" t="s">
        <v>47</v>
      </c>
      <c r="AD13" s="140"/>
      <c r="AE13" s="142" t="s">
        <v>46</v>
      </c>
      <c r="AF13" s="142" t="s">
        <v>46</v>
      </c>
      <c r="AG13" s="142" t="s">
        <v>46</v>
      </c>
      <c r="AH13" s="140"/>
      <c r="AI13" s="146">
        <f>X13*0.1</f>
        <v>17000</v>
      </c>
      <c r="AJ13" s="140"/>
    </row>
    <row r="14" spans="1:36" s="138" customFormat="1" ht="45" customHeight="1" x14ac:dyDescent="0.25">
      <c r="A14" s="139" t="s">
        <v>38</v>
      </c>
      <c r="B14" s="140" t="s">
        <v>39</v>
      </c>
      <c r="C14" s="140" t="s">
        <v>39</v>
      </c>
      <c r="D14" s="140" t="s">
        <v>39</v>
      </c>
      <c r="E14" s="141" t="s">
        <v>129</v>
      </c>
      <c r="F14" s="140" t="s">
        <v>40</v>
      </c>
      <c r="G14" s="141" t="s">
        <v>41</v>
      </c>
      <c r="H14" s="142" t="s">
        <v>128</v>
      </c>
      <c r="I14" s="142" t="s">
        <v>164</v>
      </c>
      <c r="J14" s="142"/>
      <c r="K14" s="143">
        <v>2750000</v>
      </c>
      <c r="L14" s="141">
        <v>550</v>
      </c>
      <c r="M14" s="145">
        <f>K14/L14</f>
        <v>5000</v>
      </c>
      <c r="N14" s="145"/>
      <c r="O14" s="141" t="s">
        <v>134</v>
      </c>
      <c r="P14" s="142" t="s">
        <v>128</v>
      </c>
      <c r="Q14" s="146"/>
      <c r="R14" s="146"/>
      <c r="S14" s="140"/>
      <c r="T14" s="150"/>
      <c r="U14" s="140"/>
      <c r="V14" s="140"/>
      <c r="W14" s="139"/>
      <c r="X14" s="146"/>
      <c r="Y14" s="146"/>
      <c r="Z14" s="146"/>
      <c r="AA14" s="146">
        <f>K14</f>
        <v>2750000</v>
      </c>
      <c r="AB14" s="149"/>
      <c r="AC14" s="140" t="s">
        <v>47</v>
      </c>
      <c r="AD14" s="140"/>
      <c r="AE14" s="142" t="s">
        <v>46</v>
      </c>
      <c r="AF14" s="142" t="s">
        <v>46</v>
      </c>
      <c r="AG14" s="142" t="s">
        <v>46</v>
      </c>
      <c r="AH14" s="140"/>
      <c r="AI14" s="146">
        <f>X14*0.1</f>
        <v>0</v>
      </c>
      <c r="AJ14" s="140"/>
    </row>
    <row r="15" spans="1:36" s="138" customFormat="1" ht="45" customHeight="1" x14ac:dyDescent="0.25">
      <c r="A15" s="139" t="s">
        <v>38</v>
      </c>
      <c r="B15" s="140" t="s">
        <v>39</v>
      </c>
      <c r="C15" s="140" t="s">
        <v>39</v>
      </c>
      <c r="D15" s="140" t="s">
        <v>39</v>
      </c>
      <c r="E15" s="141" t="s">
        <v>129</v>
      </c>
      <c r="F15" s="140" t="s">
        <v>40</v>
      </c>
      <c r="G15" s="141" t="s">
        <v>41</v>
      </c>
      <c r="H15" s="142" t="s">
        <v>128</v>
      </c>
      <c r="I15" s="142" t="s">
        <v>189</v>
      </c>
      <c r="J15" s="142"/>
      <c r="K15" s="143">
        <v>700000</v>
      </c>
      <c r="L15" s="141">
        <v>200</v>
      </c>
      <c r="M15" s="145">
        <f>K15/L15</f>
        <v>3500</v>
      </c>
      <c r="N15" s="145"/>
      <c r="O15" s="141" t="s">
        <v>134</v>
      </c>
      <c r="P15" s="142" t="s">
        <v>89</v>
      </c>
      <c r="Q15" s="146"/>
      <c r="R15" s="146"/>
      <c r="S15" s="140"/>
      <c r="T15" s="150"/>
      <c r="U15" s="143"/>
      <c r="V15" s="140"/>
      <c r="W15" s="139"/>
      <c r="X15" s="146">
        <v>400000</v>
      </c>
      <c r="Y15" s="146">
        <v>400000</v>
      </c>
      <c r="Z15" s="146">
        <v>300000</v>
      </c>
      <c r="AA15" s="149"/>
      <c r="AB15" s="149"/>
      <c r="AC15" s="140" t="s">
        <v>47</v>
      </c>
      <c r="AD15" s="140"/>
      <c r="AE15" s="142" t="s">
        <v>46</v>
      </c>
      <c r="AF15" s="142" t="s">
        <v>46</v>
      </c>
      <c r="AG15" s="142" t="s">
        <v>46</v>
      </c>
      <c r="AH15" s="140"/>
      <c r="AI15" s="146">
        <f>106950+25162</f>
        <v>132112</v>
      </c>
      <c r="AJ15" s="140"/>
    </row>
    <row r="16" spans="1:36" s="138" customFormat="1" ht="45" customHeight="1" x14ac:dyDescent="0.25">
      <c r="A16" s="139" t="s">
        <v>38</v>
      </c>
      <c r="B16" s="140" t="s">
        <v>39</v>
      </c>
      <c r="C16" s="140" t="s">
        <v>39</v>
      </c>
      <c r="D16" s="140" t="s">
        <v>39</v>
      </c>
      <c r="E16" s="141" t="s">
        <v>129</v>
      </c>
      <c r="F16" s="140" t="s">
        <v>40</v>
      </c>
      <c r="G16" s="141" t="s">
        <v>41</v>
      </c>
      <c r="H16" s="142" t="s">
        <v>128</v>
      </c>
      <c r="I16" s="142" t="s">
        <v>130</v>
      </c>
      <c r="J16" s="142"/>
      <c r="K16" s="143">
        <v>623115.5</v>
      </c>
      <c r="L16" s="141">
        <v>100</v>
      </c>
      <c r="M16" s="145">
        <f>K16/L16</f>
        <v>6231.1549999999997</v>
      </c>
      <c r="N16" s="145"/>
      <c r="O16" s="141" t="s">
        <v>134</v>
      </c>
      <c r="P16" s="139" t="s">
        <v>89</v>
      </c>
      <c r="Q16" s="146"/>
      <c r="R16" s="146"/>
      <c r="S16" s="140"/>
      <c r="T16" s="150"/>
      <c r="U16" s="140"/>
      <c r="V16" s="140"/>
      <c r="W16" s="139"/>
      <c r="X16" s="146">
        <v>100000</v>
      </c>
      <c r="Y16" s="146">
        <v>100000</v>
      </c>
      <c r="Z16" s="146">
        <v>523115.5</v>
      </c>
      <c r="AA16" s="149"/>
      <c r="AB16" s="149"/>
      <c r="AC16" s="140" t="s">
        <v>45</v>
      </c>
      <c r="AD16" s="140"/>
      <c r="AE16" s="142" t="s">
        <v>46</v>
      </c>
      <c r="AF16" s="142" t="s">
        <v>46</v>
      </c>
      <c r="AG16" s="142" t="s">
        <v>46</v>
      </c>
      <c r="AH16" s="140"/>
      <c r="AI16" s="146">
        <f>106950+25162</f>
        <v>132112</v>
      </c>
      <c r="AJ16" s="140"/>
    </row>
    <row r="17" spans="1:36" s="138" customFormat="1" ht="45" customHeight="1" x14ac:dyDescent="0.25">
      <c r="A17" s="139" t="s">
        <v>38</v>
      </c>
      <c r="B17" s="140" t="s">
        <v>39</v>
      </c>
      <c r="C17" s="140" t="s">
        <v>39</v>
      </c>
      <c r="D17" s="140" t="s">
        <v>39</v>
      </c>
      <c r="E17" s="141" t="s">
        <v>64</v>
      </c>
      <c r="F17" s="140" t="s">
        <v>40</v>
      </c>
      <c r="G17" s="141" t="s">
        <v>41</v>
      </c>
      <c r="H17" s="142" t="s">
        <v>65</v>
      </c>
      <c r="I17" s="142" t="s">
        <v>179</v>
      </c>
      <c r="J17" s="142"/>
      <c r="K17" s="143">
        <v>4624229.58</v>
      </c>
      <c r="L17" s="141">
        <v>2325</v>
      </c>
      <c r="M17" s="145">
        <f>K17/L17</f>
        <v>1988.9159483870967</v>
      </c>
      <c r="N17" s="145"/>
      <c r="O17" s="141" t="s">
        <v>134</v>
      </c>
      <c r="P17" s="139" t="s">
        <v>65</v>
      </c>
      <c r="Q17" s="146">
        <f t="shared" ref="Q17:Q22" si="5">K17*0.95</f>
        <v>4393018.1009999998</v>
      </c>
      <c r="R17" s="146">
        <f t="shared" ref="R17:R22" si="6">K17*0.05</f>
        <v>231211.47900000002</v>
      </c>
      <c r="S17" s="140"/>
      <c r="T17" s="150"/>
      <c r="U17" s="140"/>
      <c r="V17" s="140"/>
      <c r="W17" s="139"/>
      <c r="X17" s="146"/>
      <c r="Y17" s="146"/>
      <c r="Z17" s="146"/>
      <c r="AA17" s="146">
        <v>4656661.5999999996</v>
      </c>
      <c r="AB17" s="149"/>
      <c r="AC17" s="140" t="s">
        <v>45</v>
      </c>
      <c r="AD17" s="140"/>
      <c r="AE17" s="142" t="s">
        <v>46</v>
      </c>
      <c r="AF17" s="142" t="s">
        <v>46</v>
      </c>
      <c r="AG17" s="142" t="s">
        <v>46</v>
      </c>
      <c r="AH17" s="140"/>
      <c r="AI17" s="146">
        <f>106950+25162</f>
        <v>132112</v>
      </c>
      <c r="AJ17" s="140"/>
    </row>
    <row r="18" spans="1:36" s="138" customFormat="1" ht="45" customHeight="1" x14ac:dyDescent="0.25">
      <c r="A18" s="139" t="s">
        <v>38</v>
      </c>
      <c r="B18" s="140" t="s">
        <v>39</v>
      </c>
      <c r="C18" s="140" t="s">
        <v>39</v>
      </c>
      <c r="D18" s="140" t="s">
        <v>39</v>
      </c>
      <c r="E18" s="141" t="s">
        <v>64</v>
      </c>
      <c r="F18" s="140" t="s">
        <v>40</v>
      </c>
      <c r="G18" s="141" t="s">
        <v>41</v>
      </c>
      <c r="H18" s="142" t="s">
        <v>98</v>
      </c>
      <c r="I18" s="142" t="s">
        <v>99</v>
      </c>
      <c r="J18" s="154"/>
      <c r="K18" s="143">
        <f>5265032.222772+170596</f>
        <v>5435628.2227720004</v>
      </c>
      <c r="L18" s="157">
        <v>2280</v>
      </c>
      <c r="M18" s="153">
        <f t="shared" ref="M18:M19" si="7">K18/L18</f>
        <v>2384.0474661280705</v>
      </c>
      <c r="N18" s="158"/>
      <c r="O18" s="141"/>
      <c r="P18" s="139" t="s">
        <v>100</v>
      </c>
      <c r="Q18" s="146"/>
      <c r="R18" s="146"/>
      <c r="S18" s="140"/>
      <c r="T18" s="150"/>
      <c r="U18" s="140"/>
      <c r="V18" s="148"/>
      <c r="W18" s="139"/>
      <c r="X18" s="146">
        <f>K18*0.4</f>
        <v>2174251.2891088002</v>
      </c>
      <c r="Y18" s="146">
        <f>K18*0.4</f>
        <v>2174251.2891088002</v>
      </c>
      <c r="Z18" s="146"/>
      <c r="AA18" s="146">
        <f>K18*0.2</f>
        <v>1087125.6445544001</v>
      </c>
      <c r="AB18" s="149"/>
      <c r="AC18" s="140" t="s">
        <v>45</v>
      </c>
      <c r="AD18" s="140"/>
      <c r="AE18" s="142" t="s">
        <v>46</v>
      </c>
      <c r="AF18" s="142" t="s">
        <v>67</v>
      </c>
      <c r="AG18" s="142" t="s">
        <v>46</v>
      </c>
      <c r="AH18" s="140"/>
      <c r="AI18" s="146">
        <f>65090+15372</f>
        <v>80462</v>
      </c>
      <c r="AJ18" s="140"/>
    </row>
    <row r="19" spans="1:36" s="138" customFormat="1" ht="45" customHeight="1" x14ac:dyDescent="0.25">
      <c r="A19" s="139" t="s">
        <v>38</v>
      </c>
      <c r="B19" s="140" t="s">
        <v>39</v>
      </c>
      <c r="C19" s="140" t="s">
        <v>39</v>
      </c>
      <c r="D19" s="140" t="s">
        <v>39</v>
      </c>
      <c r="E19" s="141" t="s">
        <v>57</v>
      </c>
      <c r="F19" s="140" t="s">
        <v>40</v>
      </c>
      <c r="G19" s="141" t="s">
        <v>41</v>
      </c>
      <c r="H19" s="142" t="s">
        <v>58</v>
      </c>
      <c r="I19" s="142" t="s">
        <v>122</v>
      </c>
      <c r="J19" s="140"/>
      <c r="K19" s="143">
        <v>2978786.77</v>
      </c>
      <c r="L19" s="141">
        <v>1415</v>
      </c>
      <c r="M19" s="145">
        <f t="shared" si="7"/>
        <v>2105.1496607773852</v>
      </c>
      <c r="N19" s="145"/>
      <c r="O19" s="141">
        <v>8</v>
      </c>
      <c r="P19" s="139" t="s">
        <v>68</v>
      </c>
      <c r="Q19" s="146">
        <f t="shared" si="5"/>
        <v>2829847.4314999999</v>
      </c>
      <c r="R19" s="146">
        <f t="shared" si="6"/>
        <v>148939.33850000001</v>
      </c>
      <c r="S19" s="140"/>
      <c r="T19" s="150"/>
      <c r="U19" s="140"/>
      <c r="V19" s="148"/>
      <c r="W19" s="139"/>
      <c r="X19" s="146">
        <v>3001842.56</v>
      </c>
      <c r="Y19" s="159"/>
      <c r="Z19" s="146"/>
      <c r="AA19" s="149"/>
      <c r="AB19" s="149"/>
      <c r="AC19" s="140" t="s">
        <v>45</v>
      </c>
      <c r="AD19" s="140"/>
      <c r="AE19" s="142" t="s">
        <v>46</v>
      </c>
      <c r="AF19" s="142" t="s">
        <v>46</v>
      </c>
      <c r="AG19" s="142" t="s">
        <v>46</v>
      </c>
      <c r="AH19" s="140"/>
      <c r="AI19" s="146">
        <f>65090+10472</f>
        <v>75562</v>
      </c>
      <c r="AJ19" s="140"/>
    </row>
    <row r="20" spans="1:36" s="138" customFormat="1" ht="45" customHeight="1" x14ac:dyDescent="0.25">
      <c r="A20" s="139" t="s">
        <v>38</v>
      </c>
      <c r="B20" s="140" t="s">
        <v>39</v>
      </c>
      <c r="C20" s="140" t="s">
        <v>39</v>
      </c>
      <c r="D20" s="140" t="s">
        <v>39</v>
      </c>
      <c r="E20" s="141" t="s">
        <v>64</v>
      </c>
      <c r="F20" s="140" t="s">
        <v>40</v>
      </c>
      <c r="G20" s="141" t="s">
        <v>41</v>
      </c>
      <c r="H20" s="139" t="s">
        <v>66</v>
      </c>
      <c r="I20" s="142" t="s">
        <v>123</v>
      </c>
      <c r="J20" s="140"/>
      <c r="K20" s="143">
        <v>5308838.34</v>
      </c>
      <c r="L20" s="141">
        <v>2325</v>
      </c>
      <c r="M20" s="145">
        <f>K20/L20</f>
        <v>2283.371329032258</v>
      </c>
      <c r="N20" s="145"/>
      <c r="O20" s="141">
        <v>16</v>
      </c>
      <c r="P20" s="139" t="s">
        <v>66</v>
      </c>
      <c r="Q20" s="146">
        <f t="shared" si="5"/>
        <v>5043396.4229999995</v>
      </c>
      <c r="R20" s="146">
        <f t="shared" si="6"/>
        <v>265441.91700000002</v>
      </c>
      <c r="S20" s="140"/>
      <c r="T20" s="147"/>
      <c r="U20" s="140"/>
      <c r="V20" s="140"/>
      <c r="W20" s="139"/>
      <c r="X20" s="146"/>
      <c r="Y20" s="146"/>
      <c r="Z20" s="146"/>
      <c r="AA20" s="146">
        <f>K20</f>
        <v>5308838.34</v>
      </c>
      <c r="AB20" s="149"/>
      <c r="AC20" s="140" t="s">
        <v>45</v>
      </c>
      <c r="AD20" s="140"/>
      <c r="AE20" s="142" t="s">
        <v>46</v>
      </c>
      <c r="AF20" s="142" t="s">
        <v>46</v>
      </c>
      <c r="AG20" s="142" t="s">
        <v>46</v>
      </c>
      <c r="AH20" s="140"/>
      <c r="AI20" s="146">
        <f>106950+46673</f>
        <v>153623</v>
      </c>
      <c r="AJ20" s="140"/>
    </row>
    <row r="21" spans="1:36" s="138" customFormat="1" ht="45" customHeight="1" x14ac:dyDescent="0.25">
      <c r="A21" s="139" t="s">
        <v>38</v>
      </c>
      <c r="B21" s="140" t="s">
        <v>39</v>
      </c>
      <c r="C21" s="140" t="s">
        <v>39</v>
      </c>
      <c r="D21" s="140" t="s">
        <v>39</v>
      </c>
      <c r="E21" s="141" t="s">
        <v>69</v>
      </c>
      <c r="F21" s="142" t="s">
        <v>40</v>
      </c>
      <c r="G21" s="141" t="s">
        <v>41</v>
      </c>
      <c r="H21" s="142" t="s">
        <v>58</v>
      </c>
      <c r="I21" s="142" t="s">
        <v>70</v>
      </c>
      <c r="J21" s="142"/>
      <c r="K21" s="143">
        <v>1520655.74</v>
      </c>
      <c r="L21" s="141"/>
      <c r="M21" s="145"/>
      <c r="N21" s="145"/>
      <c r="O21" s="141">
        <v>1</v>
      </c>
      <c r="P21" s="142" t="s">
        <v>58</v>
      </c>
      <c r="Q21" s="146">
        <f t="shared" si="5"/>
        <v>1444622.953</v>
      </c>
      <c r="R21" s="146">
        <f t="shared" si="6"/>
        <v>76032.786999999997</v>
      </c>
      <c r="S21" s="140"/>
      <c r="T21" s="150"/>
      <c r="U21" s="140"/>
      <c r="V21" s="160"/>
      <c r="W21" s="139"/>
      <c r="X21" s="146"/>
      <c r="Y21" s="146">
        <v>1855200</v>
      </c>
      <c r="Z21" s="146"/>
      <c r="AA21" s="149"/>
      <c r="AB21" s="149"/>
      <c r="AC21" s="161" t="s">
        <v>45</v>
      </c>
      <c r="AD21" s="140"/>
      <c r="AE21" s="142" t="s">
        <v>46</v>
      </c>
      <c r="AF21" s="142" t="s">
        <v>46</v>
      </c>
      <c r="AG21" s="142" t="s">
        <v>46</v>
      </c>
      <c r="AH21" s="140"/>
      <c r="AI21" s="146">
        <v>64932</v>
      </c>
      <c r="AJ21" s="140"/>
    </row>
    <row r="22" spans="1:36" s="138" customFormat="1" ht="45" customHeight="1" x14ac:dyDescent="0.25">
      <c r="A22" s="139" t="s">
        <v>38</v>
      </c>
      <c r="B22" s="140" t="s">
        <v>39</v>
      </c>
      <c r="C22" s="140" t="s">
        <v>39</v>
      </c>
      <c r="D22" s="140" t="s">
        <v>39</v>
      </c>
      <c r="E22" s="141" t="s">
        <v>71</v>
      </c>
      <c r="F22" s="140" t="s">
        <v>40</v>
      </c>
      <c r="G22" s="141" t="s">
        <v>41</v>
      </c>
      <c r="H22" s="142" t="s">
        <v>72</v>
      </c>
      <c r="I22" s="142" t="s">
        <v>73</v>
      </c>
      <c r="J22" s="142"/>
      <c r="K22" s="143">
        <v>210000</v>
      </c>
      <c r="L22" s="141">
        <v>10245</v>
      </c>
      <c r="M22" s="145">
        <f>K22/L22</f>
        <v>20.497803806734993</v>
      </c>
      <c r="N22" s="158"/>
      <c r="O22" s="141">
        <v>2</v>
      </c>
      <c r="P22" s="139" t="s">
        <v>74</v>
      </c>
      <c r="Q22" s="146">
        <f t="shared" si="5"/>
        <v>199500</v>
      </c>
      <c r="R22" s="146">
        <f t="shared" si="6"/>
        <v>10500</v>
      </c>
      <c r="S22" s="140"/>
      <c r="T22" s="150"/>
      <c r="U22" s="143"/>
      <c r="V22" s="147"/>
      <c r="W22" s="139"/>
      <c r="X22" s="146">
        <v>210000</v>
      </c>
      <c r="Y22" s="146">
        <v>210000</v>
      </c>
      <c r="Z22" s="146">
        <v>500000</v>
      </c>
      <c r="AA22" s="146">
        <v>1106042.3500000001</v>
      </c>
      <c r="AB22" s="149"/>
      <c r="AC22" s="140" t="s">
        <v>45</v>
      </c>
      <c r="AD22" s="140"/>
      <c r="AE22" s="142" t="s">
        <v>46</v>
      </c>
      <c r="AF22" s="142" t="s">
        <v>46</v>
      </c>
      <c r="AG22" s="142" t="s">
        <v>46</v>
      </c>
      <c r="AH22" s="140"/>
      <c r="AI22" s="146">
        <v>22120</v>
      </c>
      <c r="AJ22" s="140"/>
    </row>
    <row r="23" spans="1:36" s="138" customFormat="1" ht="45" customHeight="1" x14ac:dyDescent="0.25">
      <c r="A23" s="139" t="s">
        <v>38</v>
      </c>
      <c r="B23" s="140" t="s">
        <v>39</v>
      </c>
      <c r="C23" s="140" t="s">
        <v>39</v>
      </c>
      <c r="D23" s="140" t="s">
        <v>39</v>
      </c>
      <c r="E23" s="141">
        <v>5</v>
      </c>
      <c r="F23" s="140" t="s">
        <v>40</v>
      </c>
      <c r="G23" s="141" t="s">
        <v>41</v>
      </c>
      <c r="H23" s="139" t="s">
        <v>75</v>
      </c>
      <c r="I23" s="142" t="s">
        <v>76</v>
      </c>
      <c r="J23" s="140"/>
      <c r="K23" s="143">
        <v>319319.31</v>
      </c>
      <c r="L23" s="141">
        <v>520</v>
      </c>
      <c r="M23" s="145">
        <f>K23/L23</f>
        <v>614.07559615384616</v>
      </c>
      <c r="N23" s="145"/>
      <c r="O23" s="141">
        <v>12</v>
      </c>
      <c r="P23" s="139" t="s">
        <v>75</v>
      </c>
      <c r="Q23" s="146">
        <f>K23*0.95</f>
        <v>303353.34450000001</v>
      </c>
      <c r="R23" s="146">
        <f>K23*0.05</f>
        <v>15965.9655</v>
      </c>
      <c r="S23" s="140"/>
      <c r="T23" s="150"/>
      <c r="U23" s="140"/>
      <c r="V23" s="162"/>
      <c r="W23" s="139"/>
      <c r="X23" s="146"/>
      <c r="Y23" s="146"/>
      <c r="Z23" s="146"/>
      <c r="AA23" s="146">
        <f>K23</f>
        <v>319319.31</v>
      </c>
      <c r="AB23" s="149"/>
      <c r="AC23" s="140" t="s">
        <v>77</v>
      </c>
      <c r="AD23" s="140"/>
      <c r="AE23" s="142" t="s">
        <v>46</v>
      </c>
      <c r="AF23" s="142" t="s">
        <v>46</v>
      </c>
      <c r="AG23" s="142" t="s">
        <v>46</v>
      </c>
      <c r="AH23" s="140"/>
      <c r="AI23" s="146">
        <v>23920</v>
      </c>
      <c r="AJ23" s="140"/>
    </row>
    <row r="24" spans="1:36" s="138" customFormat="1" ht="45" customHeight="1" x14ac:dyDescent="0.25">
      <c r="A24" s="139" t="s">
        <v>38</v>
      </c>
      <c r="B24" s="140"/>
      <c r="C24" s="140"/>
      <c r="D24" s="140"/>
      <c r="E24" s="141"/>
      <c r="F24" s="140"/>
      <c r="G24" s="141"/>
      <c r="H24" s="139"/>
      <c r="I24" s="142" t="s">
        <v>165</v>
      </c>
      <c r="J24" s="140"/>
      <c r="K24" s="143">
        <v>300000</v>
      </c>
      <c r="L24" s="141"/>
      <c r="M24" s="145"/>
      <c r="N24" s="145"/>
      <c r="O24" s="141"/>
      <c r="P24" s="139"/>
      <c r="Q24" s="146">
        <f>K24*0.95</f>
        <v>285000</v>
      </c>
      <c r="R24" s="146">
        <f>K24*0.05</f>
        <v>15000</v>
      </c>
      <c r="S24" s="140"/>
      <c r="T24" s="150"/>
      <c r="U24" s="143"/>
      <c r="V24" s="162"/>
      <c r="W24" s="139"/>
      <c r="X24" s="146">
        <v>300000</v>
      </c>
      <c r="Y24" s="146">
        <v>300000</v>
      </c>
      <c r="Z24" s="146">
        <v>300000</v>
      </c>
      <c r="AA24" s="149"/>
      <c r="AB24" s="149"/>
      <c r="AC24" s="140"/>
      <c r="AD24" s="140"/>
      <c r="AE24" s="142" t="s">
        <v>46</v>
      </c>
      <c r="AF24" s="142" t="s">
        <v>46</v>
      </c>
      <c r="AG24" s="142" t="s">
        <v>46</v>
      </c>
      <c r="AH24" s="140"/>
      <c r="AI24" s="146"/>
      <c r="AJ24" s="140"/>
    </row>
    <row r="25" spans="1:36" s="138" customFormat="1" ht="45" customHeight="1" x14ac:dyDescent="0.25">
      <c r="A25" s="139" t="s">
        <v>38</v>
      </c>
      <c r="B25" s="140" t="s">
        <v>39</v>
      </c>
      <c r="C25" s="140" t="s">
        <v>39</v>
      </c>
      <c r="D25" s="140" t="s">
        <v>39</v>
      </c>
      <c r="E25" s="141">
        <v>2</v>
      </c>
      <c r="F25" s="140" t="s">
        <v>40</v>
      </c>
      <c r="G25" s="141" t="s">
        <v>41</v>
      </c>
      <c r="H25" s="142" t="s">
        <v>50</v>
      </c>
      <c r="I25" s="142" t="s">
        <v>166</v>
      </c>
      <c r="J25" s="163"/>
      <c r="K25" s="143">
        <v>376109.15</v>
      </c>
      <c r="L25" s="141">
        <v>115764</v>
      </c>
      <c r="M25" s="145">
        <f>K25/L25</f>
        <v>3.248930150996856</v>
      </c>
      <c r="N25" s="145"/>
      <c r="O25" s="141">
        <v>10</v>
      </c>
      <c r="P25" s="139" t="s">
        <v>78</v>
      </c>
      <c r="Q25" s="146"/>
      <c r="R25" s="146"/>
      <c r="S25" s="140"/>
      <c r="T25" s="147"/>
      <c r="U25" s="140"/>
      <c r="V25" s="148"/>
      <c r="W25" s="139"/>
      <c r="X25" s="146"/>
      <c r="Y25" s="146"/>
      <c r="Z25" s="146"/>
      <c r="AA25" s="149"/>
      <c r="AB25" s="149"/>
      <c r="AC25" s="140" t="s">
        <v>45</v>
      </c>
      <c r="AD25" s="140"/>
      <c r="AE25" s="142" t="s">
        <v>46</v>
      </c>
      <c r="AF25" s="142" t="s">
        <v>46</v>
      </c>
      <c r="AG25" s="142" t="s">
        <v>46</v>
      </c>
      <c r="AH25" s="140"/>
      <c r="AI25" s="146">
        <v>14702.47</v>
      </c>
      <c r="AJ25" s="140"/>
    </row>
    <row r="26" spans="1:36" s="138" customFormat="1" ht="45" customHeight="1" x14ac:dyDescent="0.25">
      <c r="A26" s="139" t="s">
        <v>38</v>
      </c>
      <c r="B26" s="140" t="s">
        <v>39</v>
      </c>
      <c r="C26" s="140" t="s">
        <v>39</v>
      </c>
      <c r="D26" s="140" t="s">
        <v>39</v>
      </c>
      <c r="E26" s="141">
        <v>1</v>
      </c>
      <c r="F26" s="140" t="s">
        <v>40</v>
      </c>
      <c r="G26" s="141" t="s">
        <v>41</v>
      </c>
      <c r="H26" s="139" t="s">
        <v>66</v>
      </c>
      <c r="I26" s="142" t="s">
        <v>79</v>
      </c>
      <c r="J26" s="140"/>
      <c r="K26" s="143">
        <v>2048298.73</v>
      </c>
      <c r="L26" s="141">
        <v>35000</v>
      </c>
      <c r="M26" s="145">
        <f>K26/L26</f>
        <v>58.522820857142854</v>
      </c>
      <c r="N26" s="145"/>
      <c r="O26" s="141">
        <v>17</v>
      </c>
      <c r="P26" s="139" t="s">
        <v>66</v>
      </c>
      <c r="Q26" s="146">
        <f>K26*0.95</f>
        <v>1945883.7934999999</v>
      </c>
      <c r="R26" s="146">
        <f>K26*0.05</f>
        <v>102414.93650000001</v>
      </c>
      <c r="S26" s="140"/>
      <c r="T26" s="147"/>
      <c r="U26" s="140"/>
      <c r="V26" s="140"/>
      <c r="W26" s="139" t="s">
        <v>127</v>
      </c>
      <c r="X26" s="146"/>
      <c r="Y26" s="146"/>
      <c r="Z26" s="146"/>
      <c r="AA26" s="146">
        <v>2048298.73</v>
      </c>
      <c r="AB26" s="149"/>
      <c r="AC26" s="140" t="s">
        <v>45</v>
      </c>
      <c r="AD26" s="140"/>
      <c r="AE26" s="142" t="s">
        <v>46</v>
      </c>
      <c r="AF26" s="142" t="s">
        <v>46</v>
      </c>
      <c r="AG26" s="142" t="s">
        <v>46</v>
      </c>
      <c r="AH26" s="140"/>
      <c r="AI26" s="146">
        <v>41189</v>
      </c>
      <c r="AJ26" s="140"/>
    </row>
    <row r="27" spans="1:36" s="138" customFormat="1" ht="45" customHeight="1" x14ac:dyDescent="0.25">
      <c r="A27" s="139" t="s">
        <v>38</v>
      </c>
      <c r="B27" s="140" t="s">
        <v>39</v>
      </c>
      <c r="C27" s="140" t="s">
        <v>39</v>
      </c>
      <c r="D27" s="140" t="s">
        <v>39</v>
      </c>
      <c r="E27" s="141">
        <v>1</v>
      </c>
      <c r="F27" s="140" t="s">
        <v>40</v>
      </c>
      <c r="G27" s="141" t="s">
        <v>41</v>
      </c>
      <c r="H27" s="139" t="s">
        <v>66</v>
      </c>
      <c r="I27" s="142" t="s">
        <v>80</v>
      </c>
      <c r="J27" s="140"/>
      <c r="K27" s="143">
        <v>1465066.95</v>
      </c>
      <c r="L27" s="141">
        <v>485</v>
      </c>
      <c r="M27" s="145">
        <f>K27/L27</f>
        <v>3020.7565979381443</v>
      </c>
      <c r="N27" s="145"/>
      <c r="O27" s="141">
        <v>18</v>
      </c>
      <c r="P27" s="139" t="s">
        <v>66</v>
      </c>
      <c r="Q27" s="146">
        <f>K27*0.95</f>
        <v>1391813.6024999998</v>
      </c>
      <c r="R27" s="146">
        <f>K27*0.05</f>
        <v>73253.347500000003</v>
      </c>
      <c r="S27" s="140"/>
      <c r="T27" s="147"/>
      <c r="U27" s="140"/>
      <c r="V27" s="140"/>
      <c r="W27" s="139" t="s">
        <v>127</v>
      </c>
      <c r="X27" s="146"/>
      <c r="Y27" s="146">
        <v>250000</v>
      </c>
      <c r="Z27" s="146"/>
      <c r="AA27" s="146"/>
      <c r="AB27" s="149"/>
      <c r="AC27" s="140" t="s">
        <v>77</v>
      </c>
      <c r="AD27" s="140"/>
      <c r="AE27" s="142" t="s">
        <v>46</v>
      </c>
      <c r="AF27" s="142" t="s">
        <v>46</v>
      </c>
      <c r="AG27" s="142" t="s">
        <v>46</v>
      </c>
      <c r="AH27" s="140"/>
      <c r="AI27" s="146">
        <v>22310</v>
      </c>
      <c r="AJ27" s="140"/>
    </row>
    <row r="28" spans="1:36" s="138" customFormat="1" ht="45" customHeight="1" x14ac:dyDescent="0.25">
      <c r="A28" s="139" t="s">
        <v>38</v>
      </c>
      <c r="B28" s="140" t="s">
        <v>39</v>
      </c>
      <c r="C28" s="140" t="s">
        <v>39</v>
      </c>
      <c r="D28" s="140" t="s">
        <v>39</v>
      </c>
      <c r="E28" s="141" t="s">
        <v>81</v>
      </c>
      <c r="F28" s="140" t="s">
        <v>40</v>
      </c>
      <c r="G28" s="141" t="s">
        <v>41</v>
      </c>
      <c r="H28" s="139" t="s">
        <v>66</v>
      </c>
      <c r="I28" s="142" t="s">
        <v>82</v>
      </c>
      <c r="J28" s="140"/>
      <c r="K28" s="143">
        <v>2600000</v>
      </c>
      <c r="L28" s="141"/>
      <c r="M28" s="145"/>
      <c r="N28" s="145"/>
      <c r="O28" s="140"/>
      <c r="P28" s="139" t="s">
        <v>83</v>
      </c>
      <c r="Q28" s="146"/>
      <c r="R28" s="146"/>
      <c r="S28" s="146">
        <v>2600000</v>
      </c>
      <c r="T28" s="150"/>
      <c r="U28" s="140"/>
      <c r="V28" s="148"/>
      <c r="W28" s="139"/>
      <c r="X28" s="146"/>
      <c r="Y28" s="146"/>
      <c r="Z28" s="151">
        <v>2600000</v>
      </c>
      <c r="AA28" s="146"/>
      <c r="AB28" s="149"/>
      <c r="AC28" s="140"/>
      <c r="AD28" s="140"/>
      <c r="AE28" s="164">
        <v>45107</v>
      </c>
      <c r="AF28" s="164" t="s">
        <v>46</v>
      </c>
      <c r="AG28" s="142"/>
      <c r="AH28" s="140"/>
      <c r="AI28" s="146">
        <f>K28*7/100</f>
        <v>182000</v>
      </c>
      <c r="AJ28" s="140"/>
    </row>
    <row r="29" spans="1:36" s="138" customFormat="1" ht="45" customHeight="1" x14ac:dyDescent="0.25">
      <c r="A29" s="139" t="s">
        <v>38</v>
      </c>
      <c r="B29" s="140" t="s">
        <v>39</v>
      </c>
      <c r="C29" s="140" t="s">
        <v>39</v>
      </c>
      <c r="D29" s="140" t="s">
        <v>39</v>
      </c>
      <c r="E29" s="141">
        <v>13</v>
      </c>
      <c r="F29" s="140" t="s">
        <v>40</v>
      </c>
      <c r="G29" s="141" t="s">
        <v>41</v>
      </c>
      <c r="H29" s="139" t="s">
        <v>66</v>
      </c>
      <c r="I29" s="142" t="s">
        <v>84</v>
      </c>
      <c r="J29" s="140"/>
      <c r="K29" s="143">
        <v>2361176</v>
      </c>
      <c r="L29" s="141"/>
      <c r="M29" s="145"/>
      <c r="N29" s="145"/>
      <c r="O29" s="140"/>
      <c r="P29" s="139" t="s">
        <v>184</v>
      </c>
      <c r="Q29" s="146">
        <f t="shared" ref="Q29" si="8">K29*0.95</f>
        <v>2243117.1999999997</v>
      </c>
      <c r="R29" s="146">
        <f t="shared" ref="R29" si="9">K29*0.05</f>
        <v>118058.8</v>
      </c>
      <c r="S29" s="140"/>
      <c r="T29" s="150"/>
      <c r="U29" s="140"/>
      <c r="V29" s="148"/>
      <c r="W29" s="139" t="s">
        <v>144</v>
      </c>
      <c r="X29" s="146">
        <f>160000*1.22</f>
        <v>195200</v>
      </c>
      <c r="Y29" s="146"/>
      <c r="Z29" s="146"/>
      <c r="AA29" s="146"/>
      <c r="AB29" s="159"/>
      <c r="AC29" s="140"/>
      <c r="AD29" s="140"/>
      <c r="AE29" s="156">
        <v>43831</v>
      </c>
      <c r="AF29" s="156">
        <v>45627</v>
      </c>
      <c r="AG29" s="142"/>
      <c r="AH29" s="140"/>
      <c r="AI29" s="146">
        <f>X29*10/100</f>
        <v>19520</v>
      </c>
      <c r="AJ29" s="140"/>
    </row>
    <row r="30" spans="1:36" s="138" customFormat="1" ht="45" customHeight="1" x14ac:dyDescent="0.25">
      <c r="A30" s="139" t="s">
        <v>38</v>
      </c>
      <c r="B30" s="140" t="s">
        <v>39</v>
      </c>
      <c r="C30" s="140" t="s">
        <v>39</v>
      </c>
      <c r="D30" s="140" t="s">
        <v>39</v>
      </c>
      <c r="E30" s="141" t="s">
        <v>87</v>
      </c>
      <c r="F30" s="140" t="s">
        <v>40</v>
      </c>
      <c r="G30" s="141" t="s">
        <v>41</v>
      </c>
      <c r="H30" s="140" t="s">
        <v>88</v>
      </c>
      <c r="I30" s="139" t="s">
        <v>124</v>
      </c>
      <c r="J30" s="140"/>
      <c r="K30" s="143">
        <v>3799393.52</v>
      </c>
      <c r="L30" s="141"/>
      <c r="M30" s="145"/>
      <c r="N30" s="145"/>
      <c r="O30" s="140"/>
      <c r="P30" s="139" t="s">
        <v>125</v>
      </c>
      <c r="Q30" s="143"/>
      <c r="R30" s="146"/>
      <c r="S30" s="140"/>
      <c r="T30" s="150"/>
      <c r="U30" s="140"/>
      <c r="V30" s="148"/>
      <c r="W30" s="139"/>
      <c r="X30" s="146">
        <f>K30*60%</f>
        <v>2279636.1119999997</v>
      </c>
      <c r="Y30" s="146"/>
      <c r="Z30" s="151">
        <f>K30-X30</f>
        <v>1519757.4080000003</v>
      </c>
      <c r="AA30" s="146"/>
      <c r="AB30" s="159"/>
      <c r="AC30" s="140" t="s">
        <v>46</v>
      </c>
      <c r="AD30" s="156" t="s">
        <v>86</v>
      </c>
      <c r="AE30" s="142" t="s">
        <v>46</v>
      </c>
      <c r="AF30" s="142" t="s">
        <v>46</v>
      </c>
      <c r="AG30" s="142" t="s">
        <v>46</v>
      </c>
      <c r="AH30" s="140"/>
      <c r="AI30" s="146">
        <f t="shared" ref="AI30:AI32" si="10">X30*10/100</f>
        <v>227963.61119999998</v>
      </c>
      <c r="AJ30" s="140"/>
    </row>
    <row r="31" spans="1:36" s="138" customFormat="1" ht="45" customHeight="1" x14ac:dyDescent="0.25">
      <c r="A31" s="139" t="s">
        <v>38</v>
      </c>
      <c r="B31" s="140" t="s">
        <v>39</v>
      </c>
      <c r="C31" s="140" t="s">
        <v>39</v>
      </c>
      <c r="D31" s="140" t="s">
        <v>39</v>
      </c>
      <c r="E31" s="141">
        <v>9</v>
      </c>
      <c r="F31" s="140" t="s">
        <v>40</v>
      </c>
      <c r="G31" s="141" t="s">
        <v>41</v>
      </c>
      <c r="H31" s="139" t="s">
        <v>145</v>
      </c>
      <c r="I31" s="139" t="s">
        <v>181</v>
      </c>
      <c r="J31" s="140"/>
      <c r="K31" s="143">
        <v>400000</v>
      </c>
      <c r="L31" s="141"/>
      <c r="M31" s="145"/>
      <c r="N31" s="145"/>
      <c r="O31" s="140"/>
      <c r="P31" s="140" t="s">
        <v>126</v>
      </c>
      <c r="Q31" s="143"/>
      <c r="R31" s="146"/>
      <c r="S31" s="140"/>
      <c r="T31" s="150"/>
      <c r="U31" s="140"/>
      <c r="V31" s="148"/>
      <c r="W31" s="139"/>
      <c r="X31" s="146"/>
      <c r="Y31" s="146">
        <v>400000</v>
      </c>
      <c r="Z31" s="146">
        <v>400000</v>
      </c>
      <c r="AA31" s="146">
        <v>400000</v>
      </c>
      <c r="AB31" s="159"/>
      <c r="AC31" s="140" t="s">
        <v>46</v>
      </c>
      <c r="AD31" s="156">
        <v>45292</v>
      </c>
      <c r="AE31" s="142" t="s">
        <v>46</v>
      </c>
      <c r="AF31" s="156">
        <v>45627</v>
      </c>
      <c r="AG31" s="142" t="s">
        <v>46</v>
      </c>
      <c r="AH31" s="140"/>
      <c r="AI31" s="146">
        <f>Y31*10/100</f>
        <v>40000</v>
      </c>
      <c r="AJ31" s="140"/>
    </row>
    <row r="32" spans="1:36" s="138" customFormat="1" ht="45" customHeight="1" x14ac:dyDescent="0.25">
      <c r="A32" s="139" t="s">
        <v>38</v>
      </c>
      <c r="B32" s="140"/>
      <c r="C32" s="140"/>
      <c r="D32" s="140"/>
      <c r="E32" s="141"/>
      <c r="F32" s="140"/>
      <c r="G32" s="141" t="s">
        <v>41</v>
      </c>
      <c r="H32" s="139" t="s">
        <v>148</v>
      </c>
      <c r="I32" s="139" t="s">
        <v>149</v>
      </c>
      <c r="J32" s="140"/>
      <c r="K32" s="143">
        <v>300000</v>
      </c>
      <c r="L32" s="141"/>
      <c r="M32" s="145"/>
      <c r="N32" s="145"/>
      <c r="O32" s="140"/>
      <c r="P32" s="140" t="s">
        <v>126</v>
      </c>
      <c r="Q32" s="143"/>
      <c r="R32" s="146"/>
      <c r="S32" s="140"/>
      <c r="T32" s="150"/>
      <c r="U32" s="143"/>
      <c r="V32" s="148"/>
      <c r="W32" s="139"/>
      <c r="X32" s="146"/>
      <c r="Y32" s="146">
        <v>300000</v>
      </c>
      <c r="Z32" s="146">
        <v>300000</v>
      </c>
      <c r="AA32" s="146">
        <v>300000</v>
      </c>
      <c r="AB32" s="159"/>
      <c r="AC32" s="140"/>
      <c r="AD32" s="156">
        <v>45292</v>
      </c>
      <c r="AE32" s="142" t="s">
        <v>46</v>
      </c>
      <c r="AF32" s="156">
        <v>45627</v>
      </c>
      <c r="AG32" s="142" t="s">
        <v>46</v>
      </c>
      <c r="AH32" s="140"/>
      <c r="AI32" s="146">
        <f>Y32*10/100</f>
        <v>30000</v>
      </c>
      <c r="AJ32" s="140"/>
    </row>
    <row r="33" spans="1:36" s="138" customFormat="1" ht="45" customHeight="1" x14ac:dyDescent="0.25">
      <c r="A33" s="139" t="s">
        <v>38</v>
      </c>
      <c r="B33" s="140" t="s">
        <v>39</v>
      </c>
      <c r="C33" s="140" t="s">
        <v>39</v>
      </c>
      <c r="D33" s="140" t="s">
        <v>39</v>
      </c>
      <c r="E33" s="141">
        <v>10</v>
      </c>
      <c r="F33" s="140" t="s">
        <v>40</v>
      </c>
      <c r="G33" s="141" t="s">
        <v>41</v>
      </c>
      <c r="H33" s="139" t="s">
        <v>90</v>
      </c>
      <c r="I33" s="139" t="s">
        <v>91</v>
      </c>
      <c r="J33" s="140"/>
      <c r="K33" s="143">
        <v>2600000</v>
      </c>
      <c r="L33" s="141"/>
      <c r="M33" s="145"/>
      <c r="N33" s="145"/>
      <c r="O33" s="140"/>
      <c r="P33" s="139" t="s">
        <v>126</v>
      </c>
      <c r="Q33" s="143">
        <v>0</v>
      </c>
      <c r="R33" s="146"/>
      <c r="S33" s="140"/>
      <c r="T33" s="150"/>
      <c r="U33" s="143"/>
      <c r="V33" s="148"/>
      <c r="W33" s="139"/>
      <c r="X33" s="146">
        <v>2600000</v>
      </c>
      <c r="Y33" s="146">
        <v>2600000</v>
      </c>
      <c r="Z33" s="146">
        <v>2000000</v>
      </c>
      <c r="AA33" s="146">
        <v>2000000</v>
      </c>
      <c r="AB33" s="159"/>
      <c r="AC33" s="140"/>
      <c r="AD33" s="156">
        <v>45292</v>
      </c>
      <c r="AE33" s="156"/>
      <c r="AG33" s="156">
        <v>45627</v>
      </c>
      <c r="AH33" s="140"/>
      <c r="AI33" s="146">
        <f>X33*10/100</f>
        <v>260000</v>
      </c>
      <c r="AJ33" s="140"/>
    </row>
    <row r="34" spans="1:36" s="138" customFormat="1" ht="45" customHeight="1" x14ac:dyDescent="0.25">
      <c r="A34" s="139" t="s">
        <v>38</v>
      </c>
      <c r="B34" s="140" t="s">
        <v>39</v>
      </c>
      <c r="C34" s="140" t="s">
        <v>39</v>
      </c>
      <c r="D34" s="140" t="s">
        <v>39</v>
      </c>
      <c r="E34" s="141">
        <v>10</v>
      </c>
      <c r="F34" s="140" t="s">
        <v>40</v>
      </c>
      <c r="G34" s="141" t="s">
        <v>41</v>
      </c>
      <c r="H34" s="139" t="s">
        <v>97</v>
      </c>
      <c r="I34" s="142" t="s">
        <v>198</v>
      </c>
      <c r="J34" s="140"/>
      <c r="K34" s="143">
        <v>443374.92</v>
      </c>
      <c r="L34" s="141"/>
      <c r="M34" s="145"/>
      <c r="N34" s="145"/>
      <c r="O34" s="140"/>
      <c r="P34" s="139" t="s">
        <v>190</v>
      </c>
      <c r="Q34" s="143"/>
      <c r="R34" s="143">
        <v>443374.92</v>
      </c>
      <c r="S34" s="140"/>
      <c r="T34" s="150"/>
      <c r="U34" s="140"/>
      <c r="V34" s="148"/>
      <c r="W34" s="139" t="s">
        <v>143</v>
      </c>
      <c r="X34" s="146">
        <f t="shared" ref="X34:X43" si="11">K34</f>
        <v>443374.92</v>
      </c>
      <c r="Y34" s="146"/>
      <c r="Z34" s="146"/>
      <c r="AA34" s="146"/>
      <c r="AB34" s="159"/>
      <c r="AC34" s="140"/>
      <c r="AD34" s="156">
        <v>45078</v>
      </c>
      <c r="AE34" s="155">
        <v>45352</v>
      </c>
      <c r="AF34" s="155">
        <v>45444</v>
      </c>
      <c r="AG34" s="156">
        <v>45444</v>
      </c>
      <c r="AH34" s="156">
        <v>45444</v>
      </c>
      <c r="AI34" s="146">
        <f>X34*15/100</f>
        <v>66506.237999999998</v>
      </c>
      <c r="AJ34" s="140"/>
    </row>
    <row r="35" spans="1:36" s="138" customFormat="1" ht="45" customHeight="1" x14ac:dyDescent="0.25">
      <c r="A35" s="139" t="s">
        <v>38</v>
      </c>
      <c r="B35" s="140" t="s">
        <v>39</v>
      </c>
      <c r="C35" s="140" t="s">
        <v>39</v>
      </c>
      <c r="D35" s="140" t="s">
        <v>39</v>
      </c>
      <c r="E35" s="141">
        <v>10</v>
      </c>
      <c r="F35" s="140" t="s">
        <v>40</v>
      </c>
      <c r="G35" s="141" t="s">
        <v>41</v>
      </c>
      <c r="H35" s="139" t="s">
        <v>92</v>
      </c>
      <c r="I35" s="142" t="s">
        <v>85</v>
      </c>
      <c r="J35" s="140"/>
      <c r="K35" s="143">
        <f>(914000)*2</f>
        <v>1828000</v>
      </c>
      <c r="L35" s="141"/>
      <c r="M35" s="145"/>
      <c r="N35" s="145"/>
      <c r="O35" s="140"/>
      <c r="P35" s="139" t="s">
        <v>185</v>
      </c>
      <c r="Q35" s="143">
        <f>(914000)*2</f>
        <v>1828000</v>
      </c>
      <c r="R35" s="146"/>
      <c r="S35" s="140"/>
      <c r="T35" s="150"/>
      <c r="U35" s="140"/>
      <c r="V35" s="148"/>
      <c r="W35" s="139" t="s">
        <v>137</v>
      </c>
      <c r="X35" s="146">
        <f t="shared" si="11"/>
        <v>1828000</v>
      </c>
      <c r="Y35" s="146"/>
      <c r="Z35" s="151"/>
      <c r="AA35" s="146"/>
      <c r="AB35" s="159"/>
      <c r="AC35" s="140"/>
      <c r="AD35" s="156"/>
      <c r="AE35" s="156">
        <v>45292</v>
      </c>
      <c r="AF35" s="156"/>
      <c r="AG35" s="156">
        <v>45627</v>
      </c>
      <c r="AH35" s="140"/>
      <c r="AI35" s="146">
        <f>X35*15/100</f>
        <v>274200</v>
      </c>
      <c r="AJ35" s="140"/>
    </row>
    <row r="36" spans="1:36" s="138" customFormat="1" ht="45" customHeight="1" x14ac:dyDescent="0.25">
      <c r="A36" s="139" t="s">
        <v>38</v>
      </c>
      <c r="B36" s="140" t="s">
        <v>39</v>
      </c>
      <c r="C36" s="140" t="s">
        <v>39</v>
      </c>
      <c r="D36" s="140" t="s">
        <v>39</v>
      </c>
      <c r="E36" s="141">
        <v>10</v>
      </c>
      <c r="F36" s="140" t="s">
        <v>40</v>
      </c>
      <c r="G36" s="141" t="s">
        <v>41</v>
      </c>
      <c r="H36" s="139" t="s">
        <v>93</v>
      </c>
      <c r="I36" s="142" t="s">
        <v>85</v>
      </c>
      <c r="J36" s="140"/>
      <c r="K36" s="143">
        <v>793000</v>
      </c>
      <c r="L36" s="141"/>
      <c r="M36" s="145"/>
      <c r="N36" s="145"/>
      <c r="O36" s="140"/>
      <c r="P36" s="139" t="s">
        <v>185</v>
      </c>
      <c r="Q36" s="143">
        <v>793000</v>
      </c>
      <c r="R36" s="146"/>
      <c r="S36" s="140"/>
      <c r="T36" s="150"/>
      <c r="U36" s="140"/>
      <c r="V36" s="148"/>
      <c r="W36" s="139" t="s">
        <v>137</v>
      </c>
      <c r="X36" s="146">
        <f t="shared" si="11"/>
        <v>793000</v>
      </c>
      <c r="Y36" s="146"/>
      <c r="Z36" s="151"/>
      <c r="AA36" s="146"/>
      <c r="AB36" s="159"/>
      <c r="AC36" s="140"/>
      <c r="AD36" s="156"/>
      <c r="AE36" s="156">
        <v>45536</v>
      </c>
      <c r="AF36" s="156"/>
      <c r="AG36" s="156">
        <v>45627</v>
      </c>
      <c r="AH36" s="140"/>
      <c r="AI36" s="146">
        <f>X36*15/100</f>
        <v>118950</v>
      </c>
      <c r="AJ36" s="140"/>
    </row>
    <row r="37" spans="1:36" s="138" customFormat="1" ht="45" customHeight="1" x14ac:dyDescent="0.25">
      <c r="A37" s="139" t="s">
        <v>38</v>
      </c>
      <c r="B37" s="140" t="s">
        <v>39</v>
      </c>
      <c r="C37" s="140" t="s">
        <v>39</v>
      </c>
      <c r="D37" s="140" t="s">
        <v>39</v>
      </c>
      <c r="E37" s="141">
        <v>10</v>
      </c>
      <c r="F37" s="140" t="s">
        <v>40</v>
      </c>
      <c r="G37" s="141" t="s">
        <v>41</v>
      </c>
      <c r="H37" s="139" t="s">
        <v>138</v>
      </c>
      <c r="I37" s="142" t="s">
        <v>199</v>
      </c>
      <c r="J37" s="140"/>
      <c r="K37" s="143">
        <f>(2403000)*2-2148100</f>
        <v>2657900</v>
      </c>
      <c r="L37" s="141"/>
      <c r="M37" s="145"/>
      <c r="N37" s="145"/>
      <c r="O37" s="140"/>
      <c r="P37" s="139" t="s">
        <v>185</v>
      </c>
      <c r="Q37" s="143">
        <f>(2403000)*2</f>
        <v>4806000</v>
      </c>
      <c r="R37" s="146"/>
      <c r="S37" s="140"/>
      <c r="T37" s="150"/>
      <c r="U37" s="140"/>
      <c r="V37" s="148"/>
      <c r="W37" s="139" t="s">
        <v>137</v>
      </c>
      <c r="X37" s="146">
        <f t="shared" si="11"/>
        <v>2657900</v>
      </c>
      <c r="Y37" s="146"/>
      <c r="Z37" s="151"/>
      <c r="AA37" s="146"/>
      <c r="AB37" s="159"/>
      <c r="AC37" s="140"/>
      <c r="AD37" s="156"/>
      <c r="AE37" s="155">
        <v>45170</v>
      </c>
      <c r="AF37" s="155">
        <v>45261</v>
      </c>
      <c r="AG37" s="156">
        <v>45292</v>
      </c>
      <c r="AH37" s="140"/>
      <c r="AI37" s="146">
        <f>X37*15/100</f>
        <v>398685</v>
      </c>
      <c r="AJ37" s="140"/>
    </row>
    <row r="38" spans="1:36" s="138" customFormat="1" ht="45" customHeight="1" x14ac:dyDescent="0.25">
      <c r="A38" s="139" t="s">
        <v>38</v>
      </c>
      <c r="B38" s="140" t="s">
        <v>39</v>
      </c>
      <c r="C38" s="140" t="s">
        <v>39</v>
      </c>
      <c r="D38" s="140" t="s">
        <v>39</v>
      </c>
      <c r="E38" s="165" t="s">
        <v>191</v>
      </c>
      <c r="F38" s="140" t="s">
        <v>40</v>
      </c>
      <c r="G38" s="141" t="s">
        <v>41</v>
      </c>
      <c r="H38" s="139" t="s">
        <v>95</v>
      </c>
      <c r="I38" s="142" t="s">
        <v>96</v>
      </c>
      <c r="J38" s="140"/>
      <c r="K38" s="143">
        <f>(5500000+1200000)*1</f>
        <v>6700000</v>
      </c>
      <c r="L38" s="141"/>
      <c r="M38" s="145"/>
      <c r="N38" s="145"/>
      <c r="O38" s="140"/>
      <c r="P38" s="139" t="s">
        <v>197</v>
      </c>
      <c r="Q38" s="146"/>
      <c r="R38" s="146"/>
      <c r="S38" s="140"/>
      <c r="T38" s="150"/>
      <c r="U38" s="140"/>
      <c r="V38" s="148"/>
      <c r="W38" s="139"/>
      <c r="X38" s="146">
        <f t="shared" si="11"/>
        <v>6700000</v>
      </c>
      <c r="Y38" s="146"/>
      <c r="Z38" s="151"/>
      <c r="AA38" s="146"/>
      <c r="AB38" s="159"/>
      <c r="AC38" s="140"/>
      <c r="AD38" s="156"/>
      <c r="AE38" s="140"/>
      <c r="AF38" s="140"/>
      <c r="AG38" s="156"/>
      <c r="AH38" s="140"/>
      <c r="AI38" s="146"/>
      <c r="AJ38" s="140"/>
    </row>
    <row r="39" spans="1:36" s="138" customFormat="1" ht="45" customHeight="1" x14ac:dyDescent="0.25">
      <c r="A39" s="139" t="s">
        <v>38</v>
      </c>
      <c r="B39" s="140" t="s">
        <v>39</v>
      </c>
      <c r="C39" s="140" t="s">
        <v>39</v>
      </c>
      <c r="D39" s="140" t="s">
        <v>39</v>
      </c>
      <c r="E39" s="165" t="s">
        <v>191</v>
      </c>
      <c r="F39" s="140" t="s">
        <v>40</v>
      </c>
      <c r="G39" s="141"/>
      <c r="H39" s="139" t="s">
        <v>192</v>
      </c>
      <c r="I39" s="142" t="s">
        <v>193</v>
      </c>
      <c r="J39" s="140"/>
      <c r="K39" s="143">
        <v>28000000</v>
      </c>
      <c r="L39" s="141"/>
      <c r="M39" s="145"/>
      <c r="N39" s="145"/>
      <c r="O39" s="140"/>
      <c r="P39" s="139" t="s">
        <v>196</v>
      </c>
      <c r="Q39" s="146"/>
      <c r="R39" s="146"/>
      <c r="S39" s="140"/>
      <c r="T39" s="150"/>
      <c r="U39" s="140"/>
      <c r="V39" s="148"/>
      <c r="W39" s="139"/>
      <c r="X39" s="146" t="s">
        <v>133</v>
      </c>
      <c r="Y39" s="146"/>
      <c r="Z39" s="151"/>
      <c r="AA39" s="146"/>
      <c r="AB39" s="159"/>
      <c r="AC39" s="140"/>
      <c r="AD39" s="156"/>
      <c r="AE39" s="140"/>
      <c r="AF39" s="140"/>
      <c r="AG39" s="156"/>
      <c r="AH39" s="140"/>
      <c r="AI39" s="146"/>
      <c r="AJ39" s="140"/>
    </row>
    <row r="40" spans="1:36" s="138" customFormat="1" ht="45" customHeight="1" x14ac:dyDescent="0.25">
      <c r="A40" s="139" t="s">
        <v>38</v>
      </c>
      <c r="B40" s="140" t="s">
        <v>39</v>
      </c>
      <c r="C40" s="140" t="s">
        <v>39</v>
      </c>
      <c r="D40" s="140" t="s">
        <v>39</v>
      </c>
      <c r="E40" s="165" t="s">
        <v>191</v>
      </c>
      <c r="F40" s="140" t="s">
        <v>40</v>
      </c>
      <c r="G40" s="139" t="s">
        <v>192</v>
      </c>
      <c r="H40" s="142" t="s">
        <v>195</v>
      </c>
      <c r="I40" s="142" t="s">
        <v>194</v>
      </c>
      <c r="J40" s="139" t="s">
        <v>89</v>
      </c>
      <c r="K40" s="143">
        <v>27000000</v>
      </c>
      <c r="L40" s="146"/>
      <c r="M40" s="151"/>
      <c r="N40" s="146"/>
      <c r="O40" s="159"/>
      <c r="P40" s="139" t="s">
        <v>196</v>
      </c>
      <c r="Q40" s="156"/>
      <c r="R40" s="140"/>
      <c r="S40" s="140"/>
      <c r="T40" s="156"/>
      <c r="U40" s="140"/>
      <c r="V40" s="146"/>
      <c r="W40" s="140"/>
      <c r="X40" s="146"/>
      <c r="Y40" s="146"/>
      <c r="Z40" s="151"/>
      <c r="AA40" s="146"/>
      <c r="AB40" s="159"/>
      <c r="AC40" s="140"/>
      <c r="AD40" s="156"/>
      <c r="AE40" s="140"/>
      <c r="AF40" s="140"/>
      <c r="AG40" s="156"/>
      <c r="AH40" s="140"/>
      <c r="AI40" s="146"/>
      <c r="AJ40" s="140"/>
    </row>
    <row r="41" spans="1:36" s="138" customFormat="1" ht="45" customHeight="1" x14ac:dyDescent="0.25">
      <c r="A41" s="139" t="s">
        <v>38</v>
      </c>
      <c r="B41" s="140" t="s">
        <v>39</v>
      </c>
      <c r="C41" s="140" t="s">
        <v>39</v>
      </c>
      <c r="D41" s="140" t="s">
        <v>39</v>
      </c>
      <c r="E41" s="141">
        <v>10</v>
      </c>
      <c r="F41" s="140" t="s">
        <v>40</v>
      </c>
      <c r="G41" s="141" t="s">
        <v>41</v>
      </c>
      <c r="H41" s="139" t="s">
        <v>94</v>
      </c>
      <c r="I41" s="142" t="s">
        <v>85</v>
      </c>
      <c r="J41" s="140"/>
      <c r="K41" s="143">
        <f>(274500)*2</f>
        <v>549000</v>
      </c>
      <c r="L41" s="141"/>
      <c r="M41" s="145"/>
      <c r="N41" s="145"/>
      <c r="O41" s="140"/>
      <c r="P41" s="139" t="s">
        <v>186</v>
      </c>
      <c r="Q41" s="143">
        <f>(274500)*2</f>
        <v>549000</v>
      </c>
      <c r="R41" s="146"/>
      <c r="S41" s="140"/>
      <c r="T41" s="150"/>
      <c r="U41" s="140"/>
      <c r="V41" s="148"/>
      <c r="W41" s="139" t="s">
        <v>139</v>
      </c>
      <c r="X41" s="146">
        <f t="shared" si="11"/>
        <v>549000</v>
      </c>
      <c r="Y41" s="146"/>
      <c r="Z41" s="151"/>
      <c r="AA41" s="146"/>
      <c r="AB41" s="159"/>
      <c r="AC41" s="140"/>
      <c r="AD41" s="156"/>
      <c r="AE41" s="155">
        <v>45566</v>
      </c>
      <c r="AF41" s="155">
        <v>45627</v>
      </c>
      <c r="AG41" s="155">
        <v>45627</v>
      </c>
      <c r="AH41" s="140"/>
      <c r="AI41" s="146">
        <f>X41*10/100</f>
        <v>54900</v>
      </c>
      <c r="AJ41" s="140"/>
    </row>
    <row r="42" spans="1:36" s="138" customFormat="1" ht="45" customHeight="1" x14ac:dyDescent="0.25">
      <c r="A42" s="139" t="s">
        <v>38</v>
      </c>
      <c r="B42" s="140" t="s">
        <v>39</v>
      </c>
      <c r="C42" s="140" t="s">
        <v>39</v>
      </c>
      <c r="D42" s="140" t="s">
        <v>39</v>
      </c>
      <c r="E42" s="141">
        <v>10</v>
      </c>
      <c r="F42" s="140" t="s">
        <v>40</v>
      </c>
      <c r="G42" s="141" t="s">
        <v>41</v>
      </c>
      <c r="H42" s="139" t="s">
        <v>136</v>
      </c>
      <c r="I42" s="142" t="s">
        <v>85</v>
      </c>
      <c r="J42" s="140"/>
      <c r="K42" s="143">
        <f>(1178637)</f>
        <v>1178637</v>
      </c>
      <c r="L42" s="141"/>
      <c r="M42" s="145"/>
      <c r="N42" s="145"/>
      <c r="O42" s="140"/>
      <c r="P42" s="139" t="s">
        <v>187</v>
      </c>
      <c r="Q42" s="146"/>
      <c r="R42" s="146"/>
      <c r="S42" s="140"/>
      <c r="T42" s="150"/>
      <c r="U42" s="140"/>
      <c r="V42" s="148"/>
      <c r="W42" s="139" t="s">
        <v>141</v>
      </c>
      <c r="X42" s="146">
        <f t="shared" si="11"/>
        <v>1178637</v>
      </c>
      <c r="Y42" s="146"/>
      <c r="Z42" s="151"/>
      <c r="AA42" s="146"/>
      <c r="AB42" s="159"/>
      <c r="AC42" s="140"/>
      <c r="AD42" s="156"/>
      <c r="AE42" s="155">
        <v>45139</v>
      </c>
      <c r="AF42" s="155">
        <v>45261</v>
      </c>
      <c r="AG42" s="156">
        <v>45292</v>
      </c>
      <c r="AH42" s="140"/>
      <c r="AI42" s="146">
        <f>X42*10/100</f>
        <v>117863.7</v>
      </c>
      <c r="AJ42" s="140"/>
    </row>
    <row r="43" spans="1:36" s="138" customFormat="1" ht="45" customHeight="1" x14ac:dyDescent="0.25">
      <c r="A43" s="139" t="s">
        <v>38</v>
      </c>
      <c r="B43" s="140" t="s">
        <v>39</v>
      </c>
      <c r="C43" s="140" t="s">
        <v>39</v>
      </c>
      <c r="D43" s="140" t="s">
        <v>39</v>
      </c>
      <c r="E43" s="141">
        <v>10</v>
      </c>
      <c r="F43" s="140" t="s">
        <v>40</v>
      </c>
      <c r="G43" s="141" t="s">
        <v>41</v>
      </c>
      <c r="H43" s="139" t="s">
        <v>182</v>
      </c>
      <c r="I43" s="142" t="s">
        <v>85</v>
      </c>
      <c r="J43" s="140"/>
      <c r="K43" s="143">
        <f>(186000+60000)*3</f>
        <v>738000</v>
      </c>
      <c r="L43" s="141"/>
      <c r="M43" s="145"/>
      <c r="N43" s="145"/>
      <c r="O43" s="140"/>
      <c r="P43" s="139" t="s">
        <v>140</v>
      </c>
      <c r="Q43" s="146">
        <v>743100</v>
      </c>
      <c r="R43" s="146"/>
      <c r="S43" s="140"/>
      <c r="T43" s="150"/>
      <c r="U43" s="140"/>
      <c r="V43" s="148"/>
      <c r="W43" s="139" t="s">
        <v>142</v>
      </c>
      <c r="X43" s="146">
        <f t="shared" si="11"/>
        <v>738000</v>
      </c>
      <c r="Y43" s="146"/>
      <c r="Z43" s="151"/>
      <c r="AA43" s="146"/>
      <c r="AB43" s="159"/>
      <c r="AC43" s="140"/>
      <c r="AD43" s="156"/>
      <c r="AE43" s="155">
        <v>45566</v>
      </c>
      <c r="AF43" s="155">
        <v>45627</v>
      </c>
      <c r="AG43" s="155">
        <v>45627</v>
      </c>
      <c r="AH43" s="140"/>
      <c r="AI43" s="146">
        <f>X43*10/100</f>
        <v>73800</v>
      </c>
      <c r="AJ43" s="140"/>
    </row>
    <row r="44" spans="1:36" s="138" customFormat="1" ht="45" customHeight="1" x14ac:dyDescent="0.25">
      <c r="A44" s="139" t="s">
        <v>38</v>
      </c>
      <c r="B44" s="140"/>
      <c r="C44" s="140"/>
      <c r="D44" s="140"/>
      <c r="E44" s="141"/>
      <c r="F44" s="140"/>
      <c r="G44" s="141" t="s">
        <v>41</v>
      </c>
      <c r="H44" s="139" t="s">
        <v>150</v>
      </c>
      <c r="I44" s="142" t="s">
        <v>150</v>
      </c>
      <c r="J44" s="140"/>
      <c r="K44" s="143">
        <v>173075</v>
      </c>
      <c r="L44" s="141"/>
      <c r="M44" s="145"/>
      <c r="N44" s="145"/>
      <c r="O44" s="140"/>
      <c r="P44" s="139" t="s">
        <v>140</v>
      </c>
      <c r="Q44" s="143">
        <v>173075</v>
      </c>
      <c r="R44" s="146"/>
      <c r="S44" s="140"/>
      <c r="T44" s="150"/>
      <c r="U44" s="140"/>
      <c r="V44" s="148"/>
      <c r="W44" s="139"/>
      <c r="X44" s="146"/>
      <c r="Y44" s="146"/>
      <c r="Z44" s="143">
        <v>173075</v>
      </c>
      <c r="AA44" s="146"/>
      <c r="AB44" s="159"/>
      <c r="AC44" s="140"/>
      <c r="AD44" s="156"/>
      <c r="AE44" s="155">
        <v>44927</v>
      </c>
      <c r="AF44" s="155">
        <v>45261</v>
      </c>
      <c r="AG44" s="156"/>
      <c r="AH44" s="140"/>
      <c r="AI44" s="146">
        <f>Z44*0.15</f>
        <v>25961.25</v>
      </c>
      <c r="AJ44" s="140"/>
    </row>
    <row r="45" spans="1:36" s="138" customFormat="1" ht="45" customHeight="1" x14ac:dyDescent="0.25">
      <c r="A45" s="139" t="s">
        <v>38</v>
      </c>
      <c r="B45" s="140"/>
      <c r="C45" s="140"/>
      <c r="D45" s="140"/>
      <c r="E45" s="141"/>
      <c r="F45" s="140"/>
      <c r="G45" s="141" t="s">
        <v>41</v>
      </c>
      <c r="H45" s="139" t="s">
        <v>151</v>
      </c>
      <c r="I45" s="142" t="s">
        <v>152</v>
      </c>
      <c r="J45" s="140"/>
      <c r="K45" s="143">
        <v>52415.21</v>
      </c>
      <c r="L45" s="141"/>
      <c r="M45" s="145"/>
      <c r="N45" s="145"/>
      <c r="O45" s="140"/>
      <c r="P45" s="139" t="s">
        <v>140</v>
      </c>
      <c r="Q45" s="143">
        <v>52415.21</v>
      </c>
      <c r="R45" s="146"/>
      <c r="S45" s="140"/>
      <c r="T45" s="150"/>
      <c r="U45" s="140"/>
      <c r="V45" s="148"/>
      <c r="W45" s="139"/>
      <c r="X45" s="146"/>
      <c r="Y45" s="146"/>
      <c r="Z45" s="143">
        <v>52415.21</v>
      </c>
      <c r="AA45" s="146"/>
      <c r="AB45" s="159"/>
      <c r="AC45" s="140"/>
      <c r="AD45" s="156"/>
      <c r="AE45" s="155">
        <v>45078</v>
      </c>
      <c r="AF45" s="155" t="s">
        <v>154</v>
      </c>
      <c r="AG45" s="156"/>
      <c r="AH45" s="140"/>
      <c r="AI45" s="146">
        <f>Z45*0.15</f>
        <v>7862.2814999999991</v>
      </c>
      <c r="AJ45" s="140"/>
    </row>
    <row r="46" spans="1:36" s="138" customFormat="1" ht="45" customHeight="1" x14ac:dyDescent="0.25">
      <c r="A46" s="139" t="s">
        <v>38</v>
      </c>
      <c r="B46" s="140"/>
      <c r="C46" s="140"/>
      <c r="D46" s="140"/>
      <c r="E46" s="141"/>
      <c r="F46" s="140"/>
      <c r="G46" s="141" t="s">
        <v>41</v>
      </c>
      <c r="H46" s="139" t="s">
        <v>153</v>
      </c>
      <c r="I46" s="142" t="s">
        <v>153</v>
      </c>
      <c r="J46" s="140"/>
      <c r="K46" s="143">
        <v>71328.19</v>
      </c>
      <c r="L46" s="141"/>
      <c r="M46" s="145"/>
      <c r="N46" s="145"/>
      <c r="O46" s="140"/>
      <c r="P46" s="139" t="s">
        <v>140</v>
      </c>
      <c r="Q46" s="143">
        <v>71328.19</v>
      </c>
      <c r="R46" s="146"/>
      <c r="S46" s="140"/>
      <c r="T46" s="150"/>
      <c r="U46" s="140"/>
      <c r="V46" s="148"/>
      <c r="W46" s="139"/>
      <c r="X46" s="146"/>
      <c r="Y46" s="146"/>
      <c r="Z46" s="143">
        <v>71328.19</v>
      </c>
      <c r="AA46" s="146"/>
      <c r="AB46" s="159"/>
      <c r="AC46" s="140"/>
      <c r="AD46" s="156"/>
      <c r="AE46" s="155">
        <v>44927</v>
      </c>
      <c r="AF46" s="155">
        <v>45261</v>
      </c>
      <c r="AG46" s="156"/>
      <c r="AH46" s="140"/>
      <c r="AI46" s="146">
        <f>Z46*0.15</f>
        <v>10699.228499999999</v>
      </c>
      <c r="AJ46" s="140"/>
    </row>
    <row r="47" spans="1:36" s="138" customFormat="1" ht="45" customHeight="1" x14ac:dyDescent="0.25">
      <c r="A47" s="139" t="s">
        <v>38</v>
      </c>
      <c r="B47" s="140"/>
      <c r="C47" s="140"/>
      <c r="D47" s="140"/>
      <c r="E47" s="141"/>
      <c r="F47" s="140"/>
      <c r="G47" s="141" t="s">
        <v>41</v>
      </c>
      <c r="H47" s="139" t="s">
        <v>155</v>
      </c>
      <c r="I47" s="142" t="s">
        <v>155</v>
      </c>
      <c r="J47" s="140"/>
      <c r="K47" s="143">
        <v>10476994</v>
      </c>
      <c r="L47" s="141"/>
      <c r="M47" s="145"/>
      <c r="N47" s="145"/>
      <c r="O47" s="140"/>
      <c r="P47" s="139" t="s">
        <v>140</v>
      </c>
      <c r="Q47" s="143">
        <v>10476994</v>
      </c>
      <c r="R47" s="146"/>
      <c r="S47" s="140"/>
      <c r="T47" s="150"/>
      <c r="U47" s="140"/>
      <c r="V47" s="148"/>
      <c r="W47" s="139"/>
      <c r="X47" s="146"/>
      <c r="Y47" s="146"/>
      <c r="Z47" s="143">
        <v>10476994</v>
      </c>
      <c r="AA47" s="146"/>
      <c r="AB47" s="159"/>
      <c r="AC47" s="140"/>
      <c r="AD47" s="156"/>
      <c r="AE47" s="155">
        <v>45078</v>
      </c>
      <c r="AF47" s="155">
        <v>45992</v>
      </c>
      <c r="AG47" s="156"/>
      <c r="AH47" s="140"/>
      <c r="AI47" s="146">
        <f>Z47*0.15</f>
        <v>1571549.0999999999</v>
      </c>
      <c r="AJ47" s="140"/>
    </row>
    <row r="48" spans="1:36" s="138" customFormat="1" ht="45" customHeight="1" x14ac:dyDescent="0.25">
      <c r="A48" s="139" t="s">
        <v>38</v>
      </c>
      <c r="B48" s="166"/>
      <c r="C48" s="166"/>
      <c r="D48" s="166"/>
      <c r="E48" s="166"/>
      <c r="F48" s="166"/>
      <c r="G48" s="166" t="s">
        <v>41</v>
      </c>
      <c r="H48" s="170" t="s">
        <v>146</v>
      </c>
      <c r="I48" s="170" t="s">
        <v>146</v>
      </c>
      <c r="J48" s="166"/>
      <c r="K48" s="167">
        <v>3457454.25</v>
      </c>
      <c r="L48" s="166"/>
      <c r="M48" s="166"/>
      <c r="N48" s="166"/>
      <c r="O48" s="166"/>
      <c r="P48" s="168" t="s">
        <v>140</v>
      </c>
      <c r="Q48" s="167">
        <v>3457454.25</v>
      </c>
      <c r="R48" s="166"/>
      <c r="S48" s="166"/>
      <c r="T48" s="166"/>
      <c r="U48" s="166"/>
      <c r="V48" s="166"/>
      <c r="W48" s="166"/>
      <c r="X48" s="146"/>
      <c r="Y48" s="146"/>
      <c r="Z48" s="167">
        <v>3457454.25</v>
      </c>
      <c r="AA48" s="146"/>
      <c r="AB48" s="166"/>
      <c r="AC48" s="166"/>
      <c r="AD48" s="166"/>
      <c r="AE48" s="155">
        <v>44986</v>
      </c>
      <c r="AF48" s="155" t="s">
        <v>147</v>
      </c>
      <c r="AG48" s="166"/>
      <c r="AH48" s="166"/>
      <c r="AI48" s="169">
        <f>Z48*10/100</f>
        <v>345745.42499999999</v>
      </c>
      <c r="AJ48" s="166"/>
    </row>
    <row r="49" spans="1:36" s="138" customFormat="1" ht="45" customHeight="1" x14ac:dyDescent="0.25">
      <c r="A49" s="139" t="s">
        <v>38</v>
      </c>
      <c r="B49" s="140" t="s">
        <v>39</v>
      </c>
      <c r="C49" s="140" t="s">
        <v>39</v>
      </c>
      <c r="D49" s="140" t="s">
        <v>39</v>
      </c>
      <c r="E49" s="141"/>
      <c r="F49" s="140"/>
      <c r="G49" s="141" t="s">
        <v>41</v>
      </c>
      <c r="H49" s="139" t="s">
        <v>167</v>
      </c>
      <c r="I49" s="142" t="s">
        <v>168</v>
      </c>
      <c r="J49" s="140"/>
      <c r="K49" s="143">
        <v>700000</v>
      </c>
      <c r="L49" s="141"/>
      <c r="M49" s="145"/>
      <c r="N49" s="145"/>
      <c r="O49" s="140"/>
      <c r="P49" s="139"/>
      <c r="Q49" s="143"/>
      <c r="R49" s="146"/>
      <c r="S49" s="140"/>
      <c r="T49" s="150"/>
      <c r="U49" s="140"/>
      <c r="V49" s="148"/>
      <c r="W49" s="139"/>
      <c r="X49" s="146"/>
      <c r="Y49" s="151">
        <v>700000</v>
      </c>
      <c r="Z49" s="143"/>
      <c r="AA49" s="151"/>
      <c r="AB49" s="159"/>
      <c r="AC49" s="140"/>
      <c r="AD49" s="156"/>
      <c r="AE49" s="155">
        <v>45078</v>
      </c>
      <c r="AF49" s="155">
        <v>45261</v>
      </c>
      <c r="AG49" s="156"/>
      <c r="AH49" s="140"/>
      <c r="AI49" s="146">
        <f t="shared" ref="AI49:AI55" si="12">Z49*15/100</f>
        <v>0</v>
      </c>
      <c r="AJ49" s="140"/>
    </row>
    <row r="50" spans="1:36" s="138" customFormat="1" ht="45" customHeight="1" x14ac:dyDescent="0.25">
      <c r="A50" s="139" t="s">
        <v>38</v>
      </c>
      <c r="B50" s="140" t="s">
        <v>39</v>
      </c>
      <c r="C50" s="140" t="s">
        <v>39</v>
      </c>
      <c r="D50" s="140" t="s">
        <v>39</v>
      </c>
      <c r="E50" s="141"/>
      <c r="F50" s="140"/>
      <c r="G50" s="141" t="s">
        <v>41</v>
      </c>
      <c r="H50" s="139" t="s">
        <v>169</v>
      </c>
      <c r="I50" s="142" t="s">
        <v>170</v>
      </c>
      <c r="J50" s="140"/>
      <c r="K50" s="143">
        <v>300000</v>
      </c>
      <c r="L50" s="141"/>
      <c r="M50" s="145"/>
      <c r="N50" s="145"/>
      <c r="O50" s="140"/>
      <c r="P50" s="139"/>
      <c r="Q50" s="143"/>
      <c r="R50" s="146"/>
      <c r="S50" s="140"/>
      <c r="T50" s="150"/>
      <c r="U50" s="140"/>
      <c r="V50" s="148"/>
      <c r="W50" s="139"/>
      <c r="X50" s="146"/>
      <c r="Y50" s="151">
        <v>300000</v>
      </c>
      <c r="Z50" s="143"/>
      <c r="AA50" s="151"/>
      <c r="AB50" s="159"/>
      <c r="AC50" s="140"/>
      <c r="AD50" s="156"/>
      <c r="AE50" s="155">
        <v>45078</v>
      </c>
      <c r="AF50" s="155">
        <v>45261</v>
      </c>
      <c r="AG50" s="156"/>
      <c r="AH50" s="140"/>
      <c r="AI50" s="146">
        <f t="shared" si="12"/>
        <v>0</v>
      </c>
      <c r="AJ50" s="140"/>
    </row>
    <row r="51" spans="1:36" s="138" customFormat="1" ht="45" customHeight="1" x14ac:dyDescent="0.25">
      <c r="A51" s="139" t="s">
        <v>38</v>
      </c>
      <c r="B51" s="140" t="s">
        <v>39</v>
      </c>
      <c r="C51" s="140" t="s">
        <v>39</v>
      </c>
      <c r="D51" s="140" t="s">
        <v>39</v>
      </c>
      <c r="E51" s="141"/>
      <c r="F51" s="140"/>
      <c r="G51" s="141" t="s">
        <v>41</v>
      </c>
      <c r="H51" s="139" t="s">
        <v>188</v>
      </c>
      <c r="I51" s="142" t="s">
        <v>174</v>
      </c>
      <c r="J51" s="140"/>
      <c r="K51" s="143">
        <v>2000000</v>
      </c>
      <c r="L51" s="141"/>
      <c r="M51" s="145"/>
      <c r="N51" s="145"/>
      <c r="O51" s="140"/>
      <c r="P51" s="139"/>
      <c r="Q51" s="143"/>
      <c r="R51" s="146"/>
      <c r="S51" s="140"/>
      <c r="T51" s="150"/>
      <c r="U51" s="140"/>
      <c r="V51" s="148"/>
      <c r="W51" s="139"/>
      <c r="X51" s="146">
        <v>1500000</v>
      </c>
      <c r="Y51" s="151">
        <v>900000</v>
      </c>
      <c r="Z51" s="143"/>
      <c r="AA51" s="151"/>
      <c r="AB51" s="159"/>
      <c r="AC51" s="140"/>
      <c r="AD51" s="156"/>
      <c r="AE51" s="155">
        <v>45078</v>
      </c>
      <c r="AF51" s="155">
        <v>45261</v>
      </c>
      <c r="AG51" s="156"/>
      <c r="AH51" s="140"/>
      <c r="AI51" s="146">
        <f t="shared" si="12"/>
        <v>0</v>
      </c>
      <c r="AJ51" s="140"/>
    </row>
    <row r="52" spans="1:36" s="138" customFormat="1" ht="45" customHeight="1" x14ac:dyDescent="0.25">
      <c r="A52" s="139" t="s">
        <v>38</v>
      </c>
      <c r="B52" s="140" t="s">
        <v>39</v>
      </c>
      <c r="C52" s="140" t="s">
        <v>39</v>
      </c>
      <c r="D52" s="140" t="s">
        <v>39</v>
      </c>
      <c r="E52" s="141"/>
      <c r="F52" s="140"/>
      <c r="G52" s="141" t="s">
        <v>41</v>
      </c>
      <c r="H52" s="139" t="s">
        <v>173</v>
      </c>
      <c r="I52" s="142" t="s">
        <v>175</v>
      </c>
      <c r="J52" s="140"/>
      <c r="K52" s="143">
        <v>250000</v>
      </c>
      <c r="L52" s="141"/>
      <c r="M52" s="145"/>
      <c r="N52" s="145"/>
      <c r="O52" s="140"/>
      <c r="P52" s="139"/>
      <c r="Q52" s="143"/>
      <c r="R52" s="146"/>
      <c r="S52" s="140"/>
      <c r="T52" s="150"/>
      <c r="U52" s="140"/>
      <c r="V52" s="148"/>
      <c r="W52" s="139"/>
      <c r="X52" s="146"/>
      <c r="Y52" s="151">
        <v>250000</v>
      </c>
      <c r="Z52" s="143"/>
      <c r="AA52" s="151"/>
      <c r="AB52" s="159"/>
      <c r="AC52" s="140"/>
      <c r="AD52" s="156"/>
      <c r="AE52" s="155">
        <v>45078</v>
      </c>
      <c r="AF52" s="155">
        <v>45261</v>
      </c>
      <c r="AG52" s="156"/>
      <c r="AH52" s="140"/>
      <c r="AI52" s="146">
        <f t="shared" si="12"/>
        <v>0</v>
      </c>
      <c r="AJ52" s="140"/>
    </row>
    <row r="53" spans="1:36" s="138" customFormat="1" ht="45" customHeight="1" x14ac:dyDescent="0.25">
      <c r="A53" s="139" t="s">
        <v>38</v>
      </c>
      <c r="B53" s="140" t="s">
        <v>39</v>
      </c>
      <c r="C53" s="140" t="s">
        <v>39</v>
      </c>
      <c r="D53" s="140" t="s">
        <v>39</v>
      </c>
      <c r="E53" s="141"/>
      <c r="F53" s="140"/>
      <c r="G53" s="141" t="s">
        <v>41</v>
      </c>
      <c r="H53" s="139" t="s">
        <v>178</v>
      </c>
      <c r="I53" s="142" t="s">
        <v>180</v>
      </c>
      <c r="J53" s="140"/>
      <c r="K53" s="143">
        <v>200000</v>
      </c>
      <c r="L53" s="141"/>
      <c r="M53" s="145"/>
      <c r="N53" s="145"/>
      <c r="O53" s="140"/>
      <c r="P53" s="139"/>
      <c r="Q53" s="143"/>
      <c r="R53" s="146"/>
      <c r="S53" s="140"/>
      <c r="T53" s="150"/>
      <c r="U53" s="140"/>
      <c r="V53" s="148"/>
      <c r="W53" s="139"/>
      <c r="X53" s="146"/>
      <c r="Y53" s="151">
        <v>0</v>
      </c>
      <c r="Z53" s="143">
        <v>200000</v>
      </c>
      <c r="AA53" s="151"/>
      <c r="AB53" s="159"/>
      <c r="AC53" s="140"/>
      <c r="AD53" s="156"/>
      <c r="AE53" s="155">
        <v>45078</v>
      </c>
      <c r="AF53" s="155">
        <v>45261</v>
      </c>
      <c r="AG53" s="156"/>
      <c r="AH53" s="140"/>
      <c r="AI53" s="146">
        <f t="shared" si="12"/>
        <v>30000</v>
      </c>
      <c r="AJ53" s="140"/>
    </row>
    <row r="54" spans="1:36" s="138" customFormat="1" ht="45" customHeight="1" x14ac:dyDescent="0.25">
      <c r="A54" s="139" t="s">
        <v>38</v>
      </c>
      <c r="B54" s="140" t="s">
        <v>39</v>
      </c>
      <c r="C54" s="140" t="s">
        <v>39</v>
      </c>
      <c r="D54" s="140" t="s">
        <v>39</v>
      </c>
      <c r="E54" s="141"/>
      <c r="F54" s="140"/>
      <c r="G54" s="141" t="s">
        <v>41</v>
      </c>
      <c r="H54" s="139" t="s">
        <v>171</v>
      </c>
      <c r="I54" s="142" t="s">
        <v>172</v>
      </c>
      <c r="J54" s="140"/>
      <c r="K54" s="143">
        <v>350000</v>
      </c>
      <c r="L54" s="141"/>
      <c r="M54" s="145"/>
      <c r="N54" s="145"/>
      <c r="O54" s="140"/>
      <c r="P54" s="139"/>
      <c r="Q54" s="143"/>
      <c r="R54" s="146"/>
      <c r="S54" s="140"/>
      <c r="T54" s="150"/>
      <c r="U54" s="140"/>
      <c r="V54" s="148"/>
      <c r="W54" s="139"/>
      <c r="X54" s="146"/>
      <c r="Y54" s="151">
        <v>350000</v>
      </c>
      <c r="Z54" s="143"/>
      <c r="AA54" s="151"/>
      <c r="AB54" s="159"/>
      <c r="AC54" s="140"/>
      <c r="AD54" s="156"/>
      <c r="AE54" s="155">
        <v>45078</v>
      </c>
      <c r="AF54" s="155">
        <v>45261</v>
      </c>
      <c r="AG54" s="156"/>
      <c r="AH54" s="140"/>
      <c r="AI54" s="146">
        <f t="shared" si="12"/>
        <v>0</v>
      </c>
      <c r="AJ54" s="140"/>
    </row>
    <row r="55" spans="1:36" s="138" customFormat="1" ht="45" customHeight="1" thickBot="1" x14ac:dyDescent="0.3">
      <c r="A55" s="139" t="s">
        <v>38</v>
      </c>
      <c r="B55" s="140" t="s">
        <v>39</v>
      </c>
      <c r="C55" s="140" t="s">
        <v>39</v>
      </c>
      <c r="D55" s="140" t="s">
        <v>39</v>
      </c>
      <c r="E55" s="141"/>
      <c r="F55" s="140"/>
      <c r="G55" s="141" t="s">
        <v>41</v>
      </c>
      <c r="H55" s="139" t="s">
        <v>177</v>
      </c>
      <c r="I55" s="142" t="s">
        <v>176</v>
      </c>
      <c r="J55" s="140"/>
      <c r="K55" s="143">
        <v>250000</v>
      </c>
      <c r="L55" s="141"/>
      <c r="M55" s="145"/>
      <c r="N55" s="145"/>
      <c r="O55" s="140"/>
      <c r="P55" s="139"/>
      <c r="Q55" s="143"/>
      <c r="R55" s="146"/>
      <c r="S55" s="140"/>
      <c r="T55" s="150"/>
      <c r="U55" s="140"/>
      <c r="V55" s="148"/>
      <c r="W55" s="139"/>
      <c r="X55" s="146"/>
      <c r="Y55" s="151">
        <v>250000</v>
      </c>
      <c r="Z55" s="143"/>
      <c r="AA55" s="151"/>
      <c r="AB55" s="159"/>
      <c r="AC55" s="140"/>
      <c r="AD55" s="156"/>
      <c r="AE55" s="155">
        <v>45078</v>
      </c>
      <c r="AF55" s="155">
        <v>45261</v>
      </c>
      <c r="AG55" s="156"/>
      <c r="AH55" s="140"/>
      <c r="AI55" s="146">
        <f t="shared" si="12"/>
        <v>0</v>
      </c>
      <c r="AJ55" s="140"/>
    </row>
    <row r="56" spans="1:36" s="177" customFormat="1" ht="15.75" thickBot="1" x14ac:dyDescent="0.3">
      <c r="A56" s="183" t="s">
        <v>156</v>
      </c>
      <c r="B56" s="184"/>
      <c r="C56" s="184"/>
      <c r="D56" s="184"/>
      <c r="E56" s="184"/>
      <c r="F56" s="184"/>
      <c r="G56" s="184"/>
      <c r="H56" s="184"/>
      <c r="I56" s="185"/>
      <c r="J56" s="184"/>
      <c r="K56" s="186">
        <f>SUBTOTAL(9,K5:K55)</f>
        <v>150971951.71277201</v>
      </c>
      <c r="L56" s="184"/>
      <c r="M56" s="184"/>
      <c r="N56" s="184"/>
      <c r="O56" s="184"/>
      <c r="P56" s="187"/>
      <c r="Q56" s="188"/>
      <c r="R56" s="184"/>
      <c r="S56" s="184"/>
      <c r="T56" s="184"/>
      <c r="U56" s="184"/>
      <c r="V56" s="184"/>
      <c r="W56" s="184"/>
      <c r="X56" s="188"/>
      <c r="Y56" s="186"/>
      <c r="Z56" s="188"/>
      <c r="AA56" s="188"/>
      <c r="AB56" s="184"/>
      <c r="AC56" s="184"/>
      <c r="AD56" s="184"/>
      <c r="AE56" s="189"/>
      <c r="AF56" s="184"/>
      <c r="AG56" s="184"/>
      <c r="AH56" s="184"/>
      <c r="AI56" s="190"/>
      <c r="AJ56" s="191"/>
    </row>
    <row r="57" spans="1:36" ht="15.75" x14ac:dyDescent="0.25">
      <c r="A57" s="4"/>
      <c r="B57" s="4"/>
      <c r="C57" s="4"/>
      <c r="D57" s="4"/>
      <c r="E57" s="4"/>
      <c r="F57" s="4"/>
      <c r="G57" s="4"/>
      <c r="H57" s="4"/>
      <c r="I57" s="5"/>
      <c r="J57" s="4"/>
      <c r="K57" s="6"/>
      <c r="L57" s="4"/>
      <c r="M57" s="4"/>
      <c r="N57" s="4"/>
      <c r="O57" s="4"/>
      <c r="P57" s="7"/>
      <c r="Q57" s="6"/>
      <c r="R57" s="4"/>
      <c r="S57" s="4"/>
      <c r="T57" s="4"/>
      <c r="U57" s="4"/>
      <c r="V57" s="4"/>
      <c r="W57" s="4"/>
      <c r="X57" s="6"/>
      <c r="Y57" s="6"/>
      <c r="Z57" s="6"/>
      <c r="AA57" s="6"/>
      <c r="AB57" s="4"/>
      <c r="AC57" s="4"/>
      <c r="AD57" s="4"/>
      <c r="AE57" s="8"/>
      <c r="AF57" s="4"/>
      <c r="AG57" s="4"/>
      <c r="AH57" s="4"/>
      <c r="AI57" s="9"/>
      <c r="AJ57" s="4"/>
    </row>
    <row r="58" spans="1:36" ht="15" x14ac:dyDescent="0.25"/>
    <row r="59" spans="1:36" ht="15" customHeight="1" x14ac:dyDescent="0.25">
      <c r="A59" s="31" t="s">
        <v>101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36" ht="15" customHeight="1" x14ac:dyDescent="0.25">
      <c r="A60" s="32" t="s">
        <v>102</v>
      </c>
      <c r="B60" s="2"/>
      <c r="C60" s="2"/>
      <c r="D60" s="2"/>
      <c r="E60" s="2"/>
      <c r="F60" s="2"/>
      <c r="G60" s="2"/>
      <c r="H60" s="2"/>
      <c r="I60" s="113"/>
      <c r="J60" s="109">
        <v>50840682.380000003</v>
      </c>
      <c r="K60" s="34"/>
      <c r="L60" s="2"/>
    </row>
    <row r="61" spans="1:36" ht="15" customHeight="1" x14ac:dyDescent="0.25">
      <c r="A61" s="32" t="s">
        <v>103</v>
      </c>
      <c r="B61" s="2"/>
      <c r="C61" s="2"/>
      <c r="D61" s="2"/>
      <c r="E61" s="2"/>
      <c r="F61" s="2"/>
      <c r="G61" s="2"/>
      <c r="H61" s="2"/>
      <c r="I61" s="114"/>
      <c r="J61" s="110">
        <v>5640000</v>
      </c>
      <c r="K61" s="34"/>
      <c r="L61" s="2"/>
    </row>
    <row r="62" spans="1:36" ht="15" customHeight="1" x14ac:dyDescent="0.25">
      <c r="A62" s="32" t="s">
        <v>104</v>
      </c>
      <c r="B62" s="2"/>
      <c r="C62" s="2"/>
      <c r="D62" s="2"/>
      <c r="E62" s="2"/>
      <c r="F62" s="2"/>
      <c r="G62" s="2"/>
      <c r="H62" s="2"/>
      <c r="I62" s="114"/>
      <c r="J62" s="111">
        <v>20029472.73</v>
      </c>
      <c r="K62" s="34"/>
      <c r="L62" s="2"/>
      <c r="Y62" s="3"/>
      <c r="Z62" s="3"/>
      <c r="AA62" s="3"/>
    </row>
    <row r="63" spans="1:36" ht="15" customHeight="1" x14ac:dyDescent="0.25">
      <c r="A63" s="32" t="s">
        <v>105</v>
      </c>
      <c r="B63" s="2"/>
      <c r="C63" s="2"/>
      <c r="D63" s="2"/>
      <c r="E63" s="2"/>
      <c r="F63" s="2"/>
      <c r="G63" s="2"/>
      <c r="H63" s="2"/>
      <c r="I63" s="114"/>
      <c r="J63" s="112">
        <v>22895623.600000001</v>
      </c>
      <c r="K63" s="34"/>
      <c r="L63" s="2"/>
    </row>
    <row r="64" spans="1:36" ht="15" customHeight="1" x14ac:dyDescent="0.25">
      <c r="A64" s="32" t="s">
        <v>106</v>
      </c>
      <c r="B64" s="2"/>
      <c r="C64" s="2"/>
      <c r="D64" s="2"/>
      <c r="E64" s="2"/>
      <c r="F64" s="2"/>
      <c r="G64" s="2"/>
      <c r="H64" s="2"/>
      <c r="I64" s="115"/>
      <c r="J64" s="2"/>
      <c r="K64" s="35"/>
      <c r="L64" s="33"/>
    </row>
    <row r="65" spans="1:12" ht="15" customHeight="1" x14ac:dyDescent="0.25">
      <c r="A65" s="32" t="s">
        <v>107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" customHeight="1" x14ac:dyDescent="0.25">
      <c r="A66" s="32" t="s">
        <v>108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" customHeight="1" x14ac:dyDescent="0.25">
      <c r="A67" s="32" t="s">
        <v>109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" customHeight="1" x14ac:dyDescent="0.25">
      <c r="A68" s="32" t="s">
        <v>110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" customHeight="1" x14ac:dyDescent="0.25">
      <c r="A69" s="32" t="s">
        <v>111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" customHeight="1" x14ac:dyDescent="0.25">
      <c r="A70" s="32" t="s">
        <v>112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" customHeight="1" x14ac:dyDescent="0.25">
      <c r="A71" s="32" t="s">
        <v>113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" customHeight="1" x14ac:dyDescent="0.25">
      <c r="A72" s="32" t="s">
        <v>114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" customHeight="1" x14ac:dyDescent="0.25">
      <c r="A73" s="32" t="s">
        <v>115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" customHeight="1" x14ac:dyDescent="0.25">
      <c r="A75" s="1" t="s">
        <v>116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" customHeight="1" x14ac:dyDescent="0.25">
      <c r="A76" s="2" t="s">
        <v>117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" customHeight="1" x14ac:dyDescent="0.25">
      <c r="A78" s="1" t="s">
        <v>118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" customHeight="1" x14ac:dyDescent="0.25">
      <c r="A79" s="2" t="s">
        <v>119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" customHeight="1" x14ac:dyDescent="0.25">
      <c r="A81" s="1" t="s">
        <v>120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" customHeight="1" x14ac:dyDescent="0.25">
      <c r="A82" s="122" t="s">
        <v>121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</sheetData>
  <mergeCells count="29">
    <mergeCell ref="AG3:AG4"/>
    <mergeCell ref="AH3:AH4"/>
    <mergeCell ref="AI3:AI4"/>
    <mergeCell ref="AJ3:AJ4"/>
    <mergeCell ref="A82:L82"/>
    <mergeCell ref="X3:X4"/>
    <mergeCell ref="AB3:AB4"/>
    <mergeCell ref="AC3:AC4"/>
    <mergeCell ref="AD3:AD4"/>
    <mergeCell ref="AE3:AE4"/>
    <mergeCell ref="AF3:AF4"/>
    <mergeCell ref="M3:M4"/>
    <mergeCell ref="N3:N4"/>
    <mergeCell ref="O3:O4"/>
    <mergeCell ref="P3:P4"/>
    <mergeCell ref="U3:V3"/>
    <mergeCell ref="W3:W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rintOptions horizontalCentered="1" verticalCentered="1"/>
  <pageMargins left="0.23622047244094491" right="0.55118110236220474" top="0.74803149606299213" bottom="0.74803149606299213" header="0.31496062992125984" footer="0.31496062992125984"/>
  <pageSetup paperSize="9" scale="28" fitToWidth="2" fitToHeight="4" orientation="landscape" r:id="rId1"/>
  <headerFooter>
    <oddFooter>&amp;RPagina &amp;P di &amp;N</oddFooter>
  </headerFooter>
  <colBreaks count="1" manualBreakCount="1">
    <brk id="36" min="1" max="3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82"/>
  <sheetViews>
    <sheetView showGridLines="0" topLeftCell="A37" zoomScale="70" zoomScaleNormal="70" zoomScaleSheetLayoutView="70" workbookViewId="0">
      <selection activeCell="H66" sqref="H66"/>
    </sheetView>
  </sheetViews>
  <sheetFormatPr defaultColWidth="9.28515625" defaultRowHeight="70.5" customHeight="1" x14ac:dyDescent="0.25"/>
  <cols>
    <col min="1" max="1" width="25.28515625" customWidth="1"/>
    <col min="2" max="2" width="16.28515625" customWidth="1"/>
    <col min="3" max="4" width="12.28515625" customWidth="1"/>
    <col min="5" max="6" width="11.7109375" customWidth="1"/>
    <col min="7" max="7" width="11.7109375" hidden="1" customWidth="1"/>
    <col min="8" max="8" width="43.7109375" customWidth="1"/>
    <col min="9" max="9" width="48.140625" customWidth="1"/>
    <col min="10" max="10" width="14.28515625" hidden="1" customWidth="1"/>
    <col min="11" max="11" width="26.28515625" customWidth="1"/>
    <col min="12" max="12" width="16.28515625" hidden="1" customWidth="1"/>
    <col min="13" max="14" width="11.28515625" hidden="1" customWidth="1"/>
    <col min="15" max="15" width="17.28515625" hidden="1" customWidth="1"/>
    <col min="16" max="16" width="66.28515625" customWidth="1"/>
    <col min="17" max="17" width="20.7109375" hidden="1" customWidth="1"/>
    <col min="18" max="18" width="25.140625" hidden="1" customWidth="1"/>
    <col min="19" max="19" width="17.7109375" hidden="1" customWidth="1"/>
    <col min="20" max="20" width="14.28515625" hidden="1" customWidth="1"/>
    <col min="21" max="21" width="16.28515625" hidden="1" customWidth="1"/>
    <col min="22" max="22" width="14.28515625" hidden="1" customWidth="1"/>
    <col min="23" max="23" width="71.7109375" hidden="1" customWidth="1"/>
    <col min="24" max="24" width="18.28515625" customWidth="1"/>
    <col min="25" max="27" width="19.28515625" customWidth="1"/>
    <col min="28" max="28" width="17" customWidth="1"/>
    <col min="29" max="29" width="12.28515625" customWidth="1"/>
    <col min="30" max="31" width="13.28515625" customWidth="1"/>
    <col min="32" max="32" width="15" bestFit="1" customWidth="1"/>
    <col min="33" max="33" width="11.28515625" customWidth="1"/>
    <col min="34" max="34" width="12.28515625" customWidth="1"/>
    <col min="35" max="35" width="21.28515625" customWidth="1"/>
    <col min="36" max="36" width="14.7109375" customWidth="1"/>
    <col min="37" max="37" width="14.28515625" customWidth="1"/>
  </cols>
  <sheetData>
    <row r="1" spans="1:36" ht="21.75" thickBot="1" x14ac:dyDescent="0.3">
      <c r="A1" s="19" t="s">
        <v>161</v>
      </c>
      <c r="B1" s="20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  <c r="S1" s="21"/>
      <c r="T1" s="21"/>
      <c r="U1" s="21"/>
      <c r="V1" s="21"/>
      <c r="W1" s="21"/>
      <c r="X1" s="22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3"/>
    </row>
    <row r="2" spans="1:36" ht="39" thickBot="1" x14ac:dyDescent="0.3">
      <c r="A2" s="27" t="s">
        <v>0</v>
      </c>
      <c r="B2" s="28"/>
      <c r="C2" s="28"/>
      <c r="D2" s="28"/>
      <c r="E2" s="28"/>
      <c r="F2" s="28"/>
      <c r="G2" s="28" t="s">
        <v>1</v>
      </c>
      <c r="H2" s="28"/>
      <c r="I2" s="28"/>
      <c r="J2" s="29" t="s">
        <v>5</v>
      </c>
      <c r="K2" s="29"/>
      <c r="L2" s="29"/>
      <c r="M2" s="29"/>
      <c r="N2" s="29"/>
      <c r="O2" s="28" t="s">
        <v>32</v>
      </c>
      <c r="P2" s="28"/>
      <c r="Q2" s="28" t="s">
        <v>34</v>
      </c>
      <c r="R2" s="28"/>
      <c r="S2" s="28"/>
      <c r="T2" s="28"/>
      <c r="U2" s="28"/>
      <c r="V2" s="28"/>
      <c r="W2" s="28"/>
      <c r="X2" s="28" t="s">
        <v>35</v>
      </c>
      <c r="Y2" s="28"/>
      <c r="Z2" s="28"/>
      <c r="AA2" s="28"/>
      <c r="AB2" s="28"/>
      <c r="AC2" s="28" t="s">
        <v>36</v>
      </c>
      <c r="AD2" s="28"/>
      <c r="AE2" s="28"/>
      <c r="AF2" s="28"/>
      <c r="AG2" s="28"/>
      <c r="AH2" s="29" t="s">
        <v>6</v>
      </c>
      <c r="AI2" s="29"/>
      <c r="AJ2" s="30"/>
    </row>
    <row r="3" spans="1:36" ht="39.75" customHeight="1" x14ac:dyDescent="0.25">
      <c r="A3" s="123" t="s">
        <v>25</v>
      </c>
      <c r="B3" s="116" t="s">
        <v>24</v>
      </c>
      <c r="C3" s="116" t="s">
        <v>23</v>
      </c>
      <c r="D3" s="116" t="s">
        <v>22</v>
      </c>
      <c r="E3" s="116" t="s">
        <v>157</v>
      </c>
      <c r="F3" s="116" t="s">
        <v>21</v>
      </c>
      <c r="G3" s="116" t="s">
        <v>20</v>
      </c>
      <c r="H3" s="118" t="s">
        <v>19</v>
      </c>
      <c r="I3" s="116" t="s">
        <v>2</v>
      </c>
      <c r="J3" s="116" t="s">
        <v>18</v>
      </c>
      <c r="K3" s="116" t="s">
        <v>158</v>
      </c>
      <c r="L3" s="116" t="s">
        <v>17</v>
      </c>
      <c r="M3" s="116" t="s">
        <v>16</v>
      </c>
      <c r="N3" s="116" t="s">
        <v>15</v>
      </c>
      <c r="O3" s="116" t="s">
        <v>26</v>
      </c>
      <c r="P3" s="116" t="s">
        <v>33</v>
      </c>
      <c r="Q3" s="25" t="s">
        <v>30</v>
      </c>
      <c r="R3" s="25"/>
      <c r="S3" s="25"/>
      <c r="T3" s="25"/>
      <c r="U3" s="116" t="s">
        <v>31</v>
      </c>
      <c r="V3" s="116"/>
      <c r="W3" s="116" t="s">
        <v>4</v>
      </c>
      <c r="X3" s="116">
        <v>2024</v>
      </c>
      <c r="Y3" s="26"/>
      <c r="Z3" s="36"/>
      <c r="AA3" s="36"/>
      <c r="AB3" s="116" t="s">
        <v>37</v>
      </c>
      <c r="AC3" s="116" t="s">
        <v>14</v>
      </c>
      <c r="AD3" s="116" t="s">
        <v>13</v>
      </c>
      <c r="AE3" s="116" t="s">
        <v>12</v>
      </c>
      <c r="AF3" s="116" t="s">
        <v>11</v>
      </c>
      <c r="AG3" s="116" t="s">
        <v>10</v>
      </c>
      <c r="AH3" s="116" t="s">
        <v>3</v>
      </c>
      <c r="AI3" s="116" t="s">
        <v>159</v>
      </c>
      <c r="AJ3" s="120" t="s">
        <v>160</v>
      </c>
    </row>
    <row r="4" spans="1:36" ht="51.75" thickBot="1" x14ac:dyDescent="0.3">
      <c r="A4" s="124"/>
      <c r="B4" s="117"/>
      <c r="C4" s="117"/>
      <c r="D4" s="117"/>
      <c r="E4" s="117"/>
      <c r="F4" s="117"/>
      <c r="G4" s="117"/>
      <c r="H4" s="119"/>
      <c r="I4" s="117"/>
      <c r="J4" s="117"/>
      <c r="K4" s="117"/>
      <c r="L4" s="117"/>
      <c r="M4" s="117"/>
      <c r="N4" s="117"/>
      <c r="O4" s="117"/>
      <c r="P4" s="117"/>
      <c r="Q4" s="24" t="s">
        <v>27</v>
      </c>
      <c r="R4" s="24" t="s">
        <v>7</v>
      </c>
      <c r="S4" s="24" t="s">
        <v>8</v>
      </c>
      <c r="T4" s="24" t="s">
        <v>9</v>
      </c>
      <c r="U4" s="24" t="s">
        <v>28</v>
      </c>
      <c r="V4" s="24" t="s">
        <v>29</v>
      </c>
      <c r="W4" s="117"/>
      <c r="X4" s="117"/>
      <c r="Y4" s="24" t="s">
        <v>183</v>
      </c>
      <c r="Z4" s="37">
        <v>2025</v>
      </c>
      <c r="AA4" s="37">
        <v>2026</v>
      </c>
      <c r="AB4" s="117"/>
      <c r="AC4" s="117"/>
      <c r="AD4" s="117"/>
      <c r="AE4" s="117"/>
      <c r="AF4" s="117"/>
      <c r="AG4" s="117"/>
      <c r="AH4" s="117"/>
      <c r="AI4" s="117"/>
      <c r="AJ4" s="121"/>
    </row>
    <row r="5" spans="1:36" s="76" customFormat="1" ht="36" x14ac:dyDescent="0.25">
      <c r="A5" s="83" t="s">
        <v>38</v>
      </c>
      <c r="B5" s="84" t="s">
        <v>39</v>
      </c>
      <c r="C5" s="84" t="s">
        <v>39</v>
      </c>
      <c r="D5" s="84" t="s">
        <v>39</v>
      </c>
      <c r="E5" s="85">
        <v>2</v>
      </c>
      <c r="F5" s="84" t="s">
        <v>40</v>
      </c>
      <c r="G5" s="85" t="s">
        <v>41</v>
      </c>
      <c r="H5" s="86" t="s">
        <v>42</v>
      </c>
      <c r="I5" s="86" t="s">
        <v>43</v>
      </c>
      <c r="J5" s="84"/>
      <c r="K5" s="87">
        <v>9931588.1899999995</v>
      </c>
      <c r="L5" s="88">
        <v>144000</v>
      </c>
      <c r="M5" s="89">
        <f t="shared" ref="M5" si="0">K5/L5</f>
        <v>68.969362430555549</v>
      </c>
      <c r="N5" s="90"/>
      <c r="O5" s="85">
        <v>9</v>
      </c>
      <c r="P5" s="83" t="s">
        <v>44</v>
      </c>
      <c r="Q5" s="91">
        <f t="shared" ref="Q5" si="1">K5*0.95</f>
        <v>9435008.7804999985</v>
      </c>
      <c r="R5" s="91">
        <f t="shared" ref="R5" si="2">K5*0.05</f>
        <v>496579.40950000001</v>
      </c>
      <c r="S5" s="84"/>
      <c r="T5" s="92"/>
      <c r="U5" s="84"/>
      <c r="V5" s="93"/>
      <c r="W5" s="83"/>
      <c r="X5" s="94"/>
      <c r="Y5" s="91"/>
      <c r="Z5" s="91">
        <v>5343702.9000000004</v>
      </c>
      <c r="AA5" s="91"/>
      <c r="AB5" s="94"/>
      <c r="AC5" s="84" t="s">
        <v>45</v>
      </c>
      <c r="AD5" s="84"/>
      <c r="AE5" s="86" t="s">
        <v>46</v>
      </c>
      <c r="AF5" s="86" t="s">
        <v>46</v>
      </c>
      <c r="AG5" s="86" t="s">
        <v>46</v>
      </c>
      <c r="AH5" s="84"/>
      <c r="AI5" s="91">
        <v>213748.11</v>
      </c>
      <c r="AJ5" s="84"/>
    </row>
    <row r="6" spans="1:36" s="76" customFormat="1" ht="36" x14ac:dyDescent="0.25">
      <c r="A6" s="64" t="s">
        <v>38</v>
      </c>
      <c r="B6" s="65" t="s">
        <v>39</v>
      </c>
      <c r="C6" s="65" t="s">
        <v>39</v>
      </c>
      <c r="D6" s="65" t="s">
        <v>39</v>
      </c>
      <c r="E6" s="66">
        <v>4</v>
      </c>
      <c r="F6" s="65" t="s">
        <v>40</v>
      </c>
      <c r="G6" s="66" t="s">
        <v>41</v>
      </c>
      <c r="H6" s="67" t="s">
        <v>42</v>
      </c>
      <c r="I6" s="67" t="s">
        <v>48</v>
      </c>
      <c r="J6" s="65"/>
      <c r="K6" s="68">
        <v>795000</v>
      </c>
      <c r="L6" s="66">
        <v>6600</v>
      </c>
      <c r="M6" s="95">
        <f>K6/L6</f>
        <v>120.45454545454545</v>
      </c>
      <c r="N6" s="69"/>
      <c r="O6" s="66"/>
      <c r="P6" s="64" t="s">
        <v>49</v>
      </c>
      <c r="Q6" s="70"/>
      <c r="R6" s="70">
        <v>795000</v>
      </c>
      <c r="S6" s="65"/>
      <c r="T6" s="96"/>
      <c r="U6" s="65"/>
      <c r="V6" s="72"/>
      <c r="W6" s="64"/>
      <c r="X6" s="82"/>
      <c r="Y6" s="70"/>
      <c r="Z6" s="70">
        <f>R6</f>
        <v>795000</v>
      </c>
      <c r="AA6" s="70"/>
      <c r="AB6" s="82"/>
      <c r="AC6" s="65" t="s">
        <v>45</v>
      </c>
      <c r="AD6" s="65"/>
      <c r="AE6" s="67" t="s">
        <v>46</v>
      </c>
      <c r="AF6" s="67" t="s">
        <v>46</v>
      </c>
      <c r="AG6" s="67" t="s">
        <v>46</v>
      </c>
      <c r="AH6" s="65"/>
      <c r="AI6" s="70">
        <v>50000</v>
      </c>
      <c r="AJ6" s="65"/>
    </row>
    <row r="7" spans="1:36" s="76" customFormat="1" ht="24" x14ac:dyDescent="0.25">
      <c r="A7" s="64" t="s">
        <v>38</v>
      </c>
      <c r="B7" s="65" t="s">
        <v>39</v>
      </c>
      <c r="C7" s="65" t="s">
        <v>39</v>
      </c>
      <c r="D7" s="65" t="s">
        <v>39</v>
      </c>
      <c r="E7" s="66">
        <v>13</v>
      </c>
      <c r="F7" s="65" t="s">
        <v>40</v>
      </c>
      <c r="G7" s="66" t="s">
        <v>41</v>
      </c>
      <c r="H7" s="67" t="s">
        <v>50</v>
      </c>
      <c r="I7" s="67" t="s">
        <v>51</v>
      </c>
      <c r="J7" s="65"/>
      <c r="K7" s="68">
        <f>1243069-121465.19-50956.71-22896.35-187764.68</f>
        <v>859986.07000000007</v>
      </c>
      <c r="L7" s="65"/>
      <c r="M7" s="69"/>
      <c r="N7" s="69"/>
      <c r="O7" s="65"/>
      <c r="P7" s="64" t="s">
        <v>52</v>
      </c>
      <c r="Q7" s="70"/>
      <c r="R7" s="70">
        <f>1243069-121465.19-50956.71-22896.35-187764.68</f>
        <v>859986.07000000007</v>
      </c>
      <c r="S7" s="65"/>
      <c r="T7" s="71"/>
      <c r="U7" s="65"/>
      <c r="V7" s="72"/>
      <c r="W7" s="64"/>
      <c r="X7" s="82"/>
      <c r="Y7" s="97"/>
      <c r="Z7" s="70">
        <f>R7</f>
        <v>859986.07000000007</v>
      </c>
      <c r="AA7" s="97"/>
      <c r="AB7" s="82"/>
      <c r="AC7" s="65" t="s">
        <v>45</v>
      </c>
      <c r="AD7" s="65"/>
      <c r="AE7" s="67" t="s">
        <v>46</v>
      </c>
      <c r="AF7" s="67" t="s">
        <v>46</v>
      </c>
      <c r="AG7" s="67" t="s">
        <v>46</v>
      </c>
      <c r="AH7" s="65"/>
      <c r="AI7" s="70">
        <v>74585</v>
      </c>
      <c r="AJ7" s="65"/>
    </row>
    <row r="8" spans="1:36" s="76" customFormat="1" ht="24" x14ac:dyDescent="0.25">
      <c r="A8" s="64" t="s">
        <v>38</v>
      </c>
      <c r="B8" s="65" t="s">
        <v>39</v>
      </c>
      <c r="C8" s="65" t="s">
        <v>39</v>
      </c>
      <c r="D8" s="65" t="s">
        <v>39</v>
      </c>
      <c r="E8" s="66">
        <v>13</v>
      </c>
      <c r="F8" s="65" t="s">
        <v>40</v>
      </c>
      <c r="G8" s="66" t="s">
        <v>41</v>
      </c>
      <c r="H8" s="67" t="s">
        <v>50</v>
      </c>
      <c r="I8" s="67" t="s">
        <v>51</v>
      </c>
      <c r="J8" s="65"/>
      <c r="K8" s="68">
        <v>1027228</v>
      </c>
      <c r="L8" s="65"/>
      <c r="M8" s="69"/>
      <c r="N8" s="69"/>
      <c r="O8" s="65"/>
      <c r="P8" s="64" t="s">
        <v>53</v>
      </c>
      <c r="Q8" s="70"/>
      <c r="R8" s="70">
        <f>K8</f>
        <v>1027228</v>
      </c>
      <c r="S8" s="65"/>
      <c r="T8" s="71"/>
      <c r="U8" s="65"/>
      <c r="V8" s="72"/>
      <c r="W8" s="64"/>
      <c r="X8" s="82"/>
      <c r="Y8" s="97"/>
      <c r="Z8" s="70">
        <f>551582.42+404702.96</f>
        <v>956285.38000000012</v>
      </c>
      <c r="AA8" s="97"/>
      <c r="AB8" s="82"/>
      <c r="AC8" s="65" t="s">
        <v>45</v>
      </c>
      <c r="AD8" s="65"/>
      <c r="AE8" s="67" t="s">
        <v>46</v>
      </c>
      <c r="AF8" s="67" t="s">
        <v>46</v>
      </c>
      <c r="AG8" s="67" t="s">
        <v>46</v>
      </c>
      <c r="AH8" s="65"/>
      <c r="AI8" s="70">
        <v>75000</v>
      </c>
      <c r="AJ8" s="65"/>
    </row>
    <row r="9" spans="1:36" s="76" customFormat="1" ht="36" x14ac:dyDescent="0.25">
      <c r="A9" s="64" t="s">
        <v>38</v>
      </c>
      <c r="B9" s="65" t="s">
        <v>39</v>
      </c>
      <c r="C9" s="65" t="s">
        <v>39</v>
      </c>
      <c r="D9" s="65" t="s">
        <v>39</v>
      </c>
      <c r="E9" s="66">
        <v>13</v>
      </c>
      <c r="F9" s="65" t="s">
        <v>40</v>
      </c>
      <c r="G9" s="66" t="s">
        <v>41</v>
      </c>
      <c r="H9" s="67" t="s">
        <v>54</v>
      </c>
      <c r="I9" s="67" t="s">
        <v>55</v>
      </c>
      <c r="J9" s="65"/>
      <c r="K9" s="68">
        <v>5996265</v>
      </c>
      <c r="L9" s="66">
        <v>2325</v>
      </c>
      <c r="M9" s="69">
        <v>2579.04</v>
      </c>
      <c r="N9" s="69"/>
      <c r="O9" s="65"/>
      <c r="P9" s="64" t="s">
        <v>56</v>
      </c>
      <c r="Q9" s="70">
        <f t="shared" ref="Q9" si="3">K9*0.95</f>
        <v>5696451.75</v>
      </c>
      <c r="R9" s="70">
        <f t="shared" ref="R9" si="4">K9*0.05</f>
        <v>299813.25</v>
      </c>
      <c r="S9" s="65"/>
      <c r="T9" s="71"/>
      <c r="U9" s="65"/>
      <c r="V9" s="72"/>
      <c r="W9" s="64"/>
      <c r="X9" s="68">
        <f>5996265/3</f>
        <v>1998755</v>
      </c>
      <c r="Y9" s="70"/>
      <c r="Z9" s="70">
        <v>1998755</v>
      </c>
      <c r="AA9" s="70"/>
      <c r="AB9" s="98">
        <v>1998755</v>
      </c>
      <c r="AC9" s="65" t="s">
        <v>47</v>
      </c>
      <c r="AD9" s="65"/>
      <c r="AE9" s="67" t="s">
        <v>46</v>
      </c>
      <c r="AF9" s="67" t="s">
        <v>46</v>
      </c>
      <c r="AG9" s="67" t="s">
        <v>46</v>
      </c>
      <c r="AH9" s="65"/>
      <c r="AI9" s="70">
        <v>90000</v>
      </c>
      <c r="AJ9" s="65"/>
    </row>
    <row r="10" spans="1:36" s="76" customFormat="1" ht="24" x14ac:dyDescent="0.25">
      <c r="A10" s="64" t="s">
        <v>38</v>
      </c>
      <c r="B10" s="65" t="s">
        <v>39</v>
      </c>
      <c r="C10" s="65" t="s">
        <v>39</v>
      </c>
      <c r="D10" s="65" t="s">
        <v>39</v>
      </c>
      <c r="E10" s="66" t="s">
        <v>57</v>
      </c>
      <c r="F10" s="65" t="s">
        <v>40</v>
      </c>
      <c r="G10" s="66" t="s">
        <v>41</v>
      </c>
      <c r="H10" s="67" t="s">
        <v>58</v>
      </c>
      <c r="I10" s="67" t="s">
        <v>162</v>
      </c>
      <c r="J10" s="65"/>
      <c r="K10" s="68">
        <v>284088.07</v>
      </c>
      <c r="L10" s="66">
        <v>4460</v>
      </c>
      <c r="M10" s="99">
        <f>K10/L10</f>
        <v>63.696876681614349</v>
      </c>
      <c r="N10" s="69"/>
      <c r="O10" s="66">
        <v>3</v>
      </c>
      <c r="P10" s="64" t="s">
        <v>59</v>
      </c>
      <c r="Q10" s="70">
        <f>K10*0.95</f>
        <v>269883.66649999999</v>
      </c>
      <c r="R10" s="70">
        <f>K10*0.05</f>
        <v>14204.4035</v>
      </c>
      <c r="S10" s="65"/>
      <c r="T10" s="71"/>
      <c r="U10" s="65"/>
      <c r="V10" s="72"/>
      <c r="W10" s="64"/>
      <c r="X10" s="82"/>
      <c r="Y10" s="70"/>
      <c r="Z10" s="70">
        <v>284088.07</v>
      </c>
      <c r="AA10" s="70"/>
      <c r="AB10" s="82"/>
      <c r="AC10" s="65" t="s">
        <v>45</v>
      </c>
      <c r="AD10" s="65"/>
      <c r="AE10" s="67" t="s">
        <v>46</v>
      </c>
      <c r="AF10" s="67" t="s">
        <v>46</v>
      </c>
      <c r="AG10" s="67" t="s">
        <v>46</v>
      </c>
      <c r="AH10" s="65"/>
      <c r="AI10" s="70">
        <f>Z10*0.15</f>
        <v>42613.210500000001</v>
      </c>
      <c r="AJ10" s="65"/>
    </row>
    <row r="11" spans="1:36" s="76" customFormat="1" ht="48" x14ac:dyDescent="0.25">
      <c r="A11" s="64" t="s">
        <v>38</v>
      </c>
      <c r="B11" s="65" t="s">
        <v>39</v>
      </c>
      <c r="C11" s="65" t="s">
        <v>39</v>
      </c>
      <c r="D11" s="65" t="s">
        <v>39</v>
      </c>
      <c r="E11" s="66" t="s">
        <v>60</v>
      </c>
      <c r="F11" s="65" t="s">
        <v>40</v>
      </c>
      <c r="G11" s="66" t="s">
        <v>41</v>
      </c>
      <c r="H11" s="67" t="s">
        <v>61</v>
      </c>
      <c r="I11" s="67" t="s">
        <v>62</v>
      </c>
      <c r="J11" s="65"/>
      <c r="K11" s="68">
        <v>2750000</v>
      </c>
      <c r="L11" s="66">
        <v>3480</v>
      </c>
      <c r="M11" s="99">
        <f>K11/L11</f>
        <v>790.22988505747128</v>
      </c>
      <c r="N11" s="69"/>
      <c r="O11" s="66">
        <v>19</v>
      </c>
      <c r="P11" s="64" t="s">
        <v>63</v>
      </c>
      <c r="Q11" s="70"/>
      <c r="R11" s="70">
        <v>2750000</v>
      </c>
      <c r="S11" s="100"/>
      <c r="T11" s="100"/>
      <c r="U11" s="65"/>
      <c r="V11" s="72"/>
      <c r="W11" s="64"/>
      <c r="X11" s="70">
        <v>2750000</v>
      </c>
      <c r="Y11" s="82"/>
      <c r="Z11" s="82"/>
      <c r="AA11" s="82"/>
      <c r="AB11" s="82"/>
      <c r="AC11" s="65"/>
      <c r="AD11" s="75">
        <v>45017</v>
      </c>
      <c r="AE11" s="67" t="s">
        <v>46</v>
      </c>
      <c r="AF11" s="74">
        <v>45261</v>
      </c>
      <c r="AG11" s="67" t="s">
        <v>46</v>
      </c>
      <c r="AH11" s="65"/>
      <c r="AI11" s="70">
        <f>160080+52863</f>
        <v>212943</v>
      </c>
      <c r="AJ11" s="65"/>
    </row>
    <row r="12" spans="1:36" s="76" customFormat="1" ht="36" x14ac:dyDescent="0.25">
      <c r="A12" s="64" t="s">
        <v>38</v>
      </c>
      <c r="B12" s="65" t="s">
        <v>39</v>
      </c>
      <c r="C12" s="65" t="s">
        <v>39</v>
      </c>
      <c r="D12" s="65" t="s">
        <v>39</v>
      </c>
      <c r="E12" s="66" t="s">
        <v>129</v>
      </c>
      <c r="F12" s="65" t="s">
        <v>40</v>
      </c>
      <c r="G12" s="66" t="s">
        <v>41</v>
      </c>
      <c r="H12" s="67" t="s">
        <v>131</v>
      </c>
      <c r="I12" s="67" t="s">
        <v>132</v>
      </c>
      <c r="J12" s="67"/>
      <c r="K12" s="68">
        <v>268000</v>
      </c>
      <c r="L12" s="66" t="s">
        <v>133</v>
      </c>
      <c r="M12" s="69" t="s">
        <v>133</v>
      </c>
      <c r="N12" s="69"/>
      <c r="O12" s="66"/>
      <c r="P12" s="67" t="s">
        <v>135</v>
      </c>
      <c r="Q12" s="70"/>
      <c r="R12" s="70"/>
      <c r="S12" s="65"/>
      <c r="T12" s="71"/>
      <c r="U12" s="65"/>
      <c r="V12" s="65"/>
      <c r="W12" s="64"/>
      <c r="X12" s="70">
        <v>268000</v>
      </c>
      <c r="Y12" s="70">
        <v>268000</v>
      </c>
      <c r="Z12" s="70">
        <v>268000</v>
      </c>
      <c r="AA12" s="68"/>
      <c r="AB12" s="82"/>
      <c r="AC12" s="65" t="s">
        <v>47</v>
      </c>
      <c r="AD12" s="65"/>
      <c r="AE12" s="67" t="s">
        <v>46</v>
      </c>
      <c r="AF12" s="67" t="s">
        <v>46</v>
      </c>
      <c r="AG12" s="67" t="s">
        <v>46</v>
      </c>
      <c r="AH12" s="65"/>
      <c r="AI12" s="70">
        <f>X12*0.1</f>
        <v>26800</v>
      </c>
      <c r="AJ12" s="65"/>
    </row>
    <row r="13" spans="1:36" s="76" customFormat="1" ht="36" x14ac:dyDescent="0.25">
      <c r="A13" s="64" t="s">
        <v>38</v>
      </c>
      <c r="B13" s="65" t="s">
        <v>39</v>
      </c>
      <c r="C13" s="65" t="s">
        <v>39</v>
      </c>
      <c r="D13" s="65" t="s">
        <v>39</v>
      </c>
      <c r="E13" s="66" t="s">
        <v>129</v>
      </c>
      <c r="F13" s="65" t="s">
        <v>40</v>
      </c>
      <c r="G13" s="66" t="s">
        <v>41</v>
      </c>
      <c r="H13" s="67" t="s">
        <v>131</v>
      </c>
      <c r="I13" s="67" t="s">
        <v>163</v>
      </c>
      <c r="J13" s="67"/>
      <c r="K13" s="68">
        <v>170000</v>
      </c>
      <c r="L13" s="66" t="s">
        <v>133</v>
      </c>
      <c r="M13" s="69" t="s">
        <v>133</v>
      </c>
      <c r="N13" s="69"/>
      <c r="O13" s="66" t="s">
        <v>134</v>
      </c>
      <c r="P13" s="67" t="s">
        <v>135</v>
      </c>
      <c r="Q13" s="70"/>
      <c r="R13" s="70"/>
      <c r="S13" s="65"/>
      <c r="T13" s="71"/>
      <c r="U13" s="65"/>
      <c r="V13" s="65"/>
      <c r="W13" s="64"/>
      <c r="X13" s="70">
        <v>170000</v>
      </c>
      <c r="Y13" s="70">
        <v>170000</v>
      </c>
      <c r="Z13" s="70">
        <v>372000</v>
      </c>
      <c r="AA13" s="68"/>
      <c r="AB13" s="82"/>
      <c r="AC13" s="65" t="s">
        <v>47</v>
      </c>
      <c r="AD13" s="65"/>
      <c r="AE13" s="67" t="s">
        <v>46</v>
      </c>
      <c r="AF13" s="67" t="s">
        <v>46</v>
      </c>
      <c r="AG13" s="67" t="s">
        <v>46</v>
      </c>
      <c r="AH13" s="65"/>
      <c r="AI13" s="70">
        <f>X13*0.1</f>
        <v>17000</v>
      </c>
      <c r="AJ13" s="65"/>
    </row>
    <row r="14" spans="1:36" s="76" customFormat="1" ht="36" x14ac:dyDescent="0.25">
      <c r="A14" s="64" t="s">
        <v>38</v>
      </c>
      <c r="B14" s="65" t="s">
        <v>39</v>
      </c>
      <c r="C14" s="65" t="s">
        <v>39</v>
      </c>
      <c r="D14" s="65" t="s">
        <v>39</v>
      </c>
      <c r="E14" s="66" t="s">
        <v>129</v>
      </c>
      <c r="F14" s="65" t="s">
        <v>40</v>
      </c>
      <c r="G14" s="66" t="s">
        <v>41</v>
      </c>
      <c r="H14" s="67" t="s">
        <v>128</v>
      </c>
      <c r="I14" s="67" t="s">
        <v>164</v>
      </c>
      <c r="J14" s="67"/>
      <c r="K14" s="68">
        <v>2750000</v>
      </c>
      <c r="L14" s="66">
        <v>550</v>
      </c>
      <c r="M14" s="69">
        <f>K14/L14</f>
        <v>5000</v>
      </c>
      <c r="N14" s="69"/>
      <c r="O14" s="66" t="s">
        <v>134</v>
      </c>
      <c r="P14" s="67" t="s">
        <v>128</v>
      </c>
      <c r="Q14" s="70"/>
      <c r="R14" s="70"/>
      <c r="S14" s="65"/>
      <c r="T14" s="71"/>
      <c r="U14" s="65"/>
      <c r="V14" s="65"/>
      <c r="W14" s="64"/>
      <c r="X14" s="70"/>
      <c r="Y14" s="70"/>
      <c r="Z14" s="70"/>
      <c r="AA14" s="70">
        <f>K14</f>
        <v>2750000</v>
      </c>
      <c r="AB14" s="82"/>
      <c r="AC14" s="65" t="s">
        <v>47</v>
      </c>
      <c r="AD14" s="65"/>
      <c r="AE14" s="67" t="s">
        <v>46</v>
      </c>
      <c r="AF14" s="67" t="s">
        <v>46</v>
      </c>
      <c r="AG14" s="67" t="s">
        <v>46</v>
      </c>
      <c r="AH14" s="65"/>
      <c r="AI14" s="70">
        <f>X14*0.1</f>
        <v>0</v>
      </c>
      <c r="AJ14" s="65"/>
    </row>
    <row r="15" spans="1:36" s="76" customFormat="1" ht="24" x14ac:dyDescent="0.25">
      <c r="A15" s="64" t="s">
        <v>38</v>
      </c>
      <c r="B15" s="65" t="s">
        <v>39</v>
      </c>
      <c r="C15" s="65" t="s">
        <v>39</v>
      </c>
      <c r="D15" s="65" t="s">
        <v>39</v>
      </c>
      <c r="E15" s="66" t="s">
        <v>129</v>
      </c>
      <c r="F15" s="65" t="s">
        <v>40</v>
      </c>
      <c r="G15" s="66" t="s">
        <v>41</v>
      </c>
      <c r="H15" s="67" t="s">
        <v>128</v>
      </c>
      <c r="I15" s="67" t="s">
        <v>189</v>
      </c>
      <c r="J15" s="67"/>
      <c r="K15" s="68">
        <v>700000</v>
      </c>
      <c r="L15" s="66">
        <v>200</v>
      </c>
      <c r="M15" s="69">
        <f>K15/L15</f>
        <v>3500</v>
      </c>
      <c r="N15" s="69"/>
      <c r="O15" s="66" t="s">
        <v>134</v>
      </c>
      <c r="P15" s="67" t="s">
        <v>89</v>
      </c>
      <c r="Q15" s="70"/>
      <c r="R15" s="70"/>
      <c r="S15" s="65"/>
      <c r="T15" s="71"/>
      <c r="U15" s="68"/>
      <c r="V15" s="65"/>
      <c r="W15" s="64"/>
      <c r="X15" s="70">
        <v>400000</v>
      </c>
      <c r="Y15" s="70">
        <v>400000</v>
      </c>
      <c r="Z15" s="70">
        <v>300000</v>
      </c>
      <c r="AA15" s="82"/>
      <c r="AB15" s="82"/>
      <c r="AC15" s="65" t="s">
        <v>47</v>
      </c>
      <c r="AD15" s="65"/>
      <c r="AE15" s="67" t="s">
        <v>46</v>
      </c>
      <c r="AF15" s="67" t="s">
        <v>46</v>
      </c>
      <c r="AG15" s="67" t="s">
        <v>46</v>
      </c>
      <c r="AH15" s="65"/>
      <c r="AI15" s="70">
        <f>106950+25162</f>
        <v>132112</v>
      </c>
      <c r="AJ15" s="65"/>
    </row>
    <row r="16" spans="1:36" s="76" customFormat="1" ht="24" x14ac:dyDescent="0.25">
      <c r="A16" s="64" t="s">
        <v>38</v>
      </c>
      <c r="B16" s="65" t="s">
        <v>39</v>
      </c>
      <c r="C16" s="65" t="s">
        <v>39</v>
      </c>
      <c r="D16" s="65" t="s">
        <v>39</v>
      </c>
      <c r="E16" s="66" t="s">
        <v>129</v>
      </c>
      <c r="F16" s="65" t="s">
        <v>40</v>
      </c>
      <c r="G16" s="66" t="s">
        <v>41</v>
      </c>
      <c r="H16" s="67" t="s">
        <v>128</v>
      </c>
      <c r="I16" s="67" t="s">
        <v>130</v>
      </c>
      <c r="J16" s="67"/>
      <c r="K16" s="68">
        <v>623115.5</v>
      </c>
      <c r="L16" s="66">
        <v>100</v>
      </c>
      <c r="M16" s="69">
        <f>K16/L16</f>
        <v>6231.1549999999997</v>
      </c>
      <c r="N16" s="69"/>
      <c r="O16" s="66" t="s">
        <v>134</v>
      </c>
      <c r="P16" s="64" t="s">
        <v>89</v>
      </c>
      <c r="Q16" s="70"/>
      <c r="R16" s="70"/>
      <c r="S16" s="65"/>
      <c r="T16" s="71"/>
      <c r="U16" s="65"/>
      <c r="V16" s="65"/>
      <c r="W16" s="64"/>
      <c r="X16" s="70">
        <v>100000</v>
      </c>
      <c r="Y16" s="70">
        <v>100000</v>
      </c>
      <c r="Z16" s="70">
        <v>523115.5</v>
      </c>
      <c r="AA16" s="82"/>
      <c r="AB16" s="82"/>
      <c r="AC16" s="65" t="s">
        <v>45</v>
      </c>
      <c r="AD16" s="65"/>
      <c r="AE16" s="67" t="s">
        <v>46</v>
      </c>
      <c r="AF16" s="67" t="s">
        <v>46</v>
      </c>
      <c r="AG16" s="67" t="s">
        <v>46</v>
      </c>
      <c r="AH16" s="65"/>
      <c r="AI16" s="70">
        <f>106950+25162</f>
        <v>132112</v>
      </c>
      <c r="AJ16" s="65"/>
    </row>
    <row r="17" spans="1:36" s="76" customFormat="1" ht="24" x14ac:dyDescent="0.25">
      <c r="A17" s="64" t="s">
        <v>38</v>
      </c>
      <c r="B17" s="65" t="s">
        <v>39</v>
      </c>
      <c r="C17" s="65" t="s">
        <v>39</v>
      </c>
      <c r="D17" s="65" t="s">
        <v>39</v>
      </c>
      <c r="E17" s="66" t="s">
        <v>64</v>
      </c>
      <c r="F17" s="65" t="s">
        <v>40</v>
      </c>
      <c r="G17" s="66" t="s">
        <v>41</v>
      </c>
      <c r="H17" s="67" t="s">
        <v>65</v>
      </c>
      <c r="I17" s="67" t="s">
        <v>179</v>
      </c>
      <c r="J17" s="67"/>
      <c r="K17" s="68">
        <v>4624229.58</v>
      </c>
      <c r="L17" s="66">
        <v>2325</v>
      </c>
      <c r="M17" s="69">
        <f>K17/L17</f>
        <v>1988.9159483870967</v>
      </c>
      <c r="N17" s="69"/>
      <c r="O17" s="66" t="s">
        <v>134</v>
      </c>
      <c r="P17" s="64" t="s">
        <v>65</v>
      </c>
      <c r="Q17" s="70">
        <f t="shared" ref="Q17:Q22" si="5">K17*0.95</f>
        <v>4393018.1009999998</v>
      </c>
      <c r="R17" s="70">
        <f t="shared" ref="R17:R22" si="6">K17*0.05</f>
        <v>231211.47900000002</v>
      </c>
      <c r="S17" s="65"/>
      <c r="T17" s="71"/>
      <c r="U17" s="65"/>
      <c r="V17" s="65"/>
      <c r="W17" s="64"/>
      <c r="X17" s="70"/>
      <c r="Y17" s="70"/>
      <c r="Z17" s="70"/>
      <c r="AA17" s="70">
        <v>4656661.5999999996</v>
      </c>
      <c r="AB17" s="82"/>
      <c r="AC17" s="65" t="s">
        <v>45</v>
      </c>
      <c r="AD17" s="65"/>
      <c r="AE17" s="67" t="s">
        <v>46</v>
      </c>
      <c r="AF17" s="67" t="s">
        <v>46</v>
      </c>
      <c r="AG17" s="67" t="s">
        <v>46</v>
      </c>
      <c r="AH17" s="65"/>
      <c r="AI17" s="70">
        <f>106950+25162</f>
        <v>132112</v>
      </c>
      <c r="AJ17" s="65"/>
    </row>
    <row r="18" spans="1:36" s="76" customFormat="1" ht="24" x14ac:dyDescent="0.25">
      <c r="A18" s="64" t="s">
        <v>38</v>
      </c>
      <c r="B18" s="65" t="s">
        <v>39</v>
      </c>
      <c r="C18" s="65" t="s">
        <v>39</v>
      </c>
      <c r="D18" s="65" t="s">
        <v>39</v>
      </c>
      <c r="E18" s="66" t="s">
        <v>64</v>
      </c>
      <c r="F18" s="65" t="s">
        <v>40</v>
      </c>
      <c r="G18" s="66" t="s">
        <v>41</v>
      </c>
      <c r="H18" s="67" t="s">
        <v>98</v>
      </c>
      <c r="I18" s="67" t="s">
        <v>99</v>
      </c>
      <c r="J18" s="100"/>
      <c r="K18" s="68">
        <f>5265032.222772+170596</f>
        <v>5435628.2227720004</v>
      </c>
      <c r="L18" s="101">
        <v>2280</v>
      </c>
      <c r="M18" s="99">
        <f t="shared" ref="M18" si="7">K18/L18</f>
        <v>2384.0474661280705</v>
      </c>
      <c r="N18" s="102"/>
      <c r="O18" s="66"/>
      <c r="P18" s="64" t="s">
        <v>100</v>
      </c>
      <c r="Q18" s="70"/>
      <c r="R18" s="70"/>
      <c r="S18" s="65"/>
      <c r="T18" s="71"/>
      <c r="U18" s="65"/>
      <c r="V18" s="72"/>
      <c r="W18" s="64"/>
      <c r="X18" s="70">
        <f>K18*0.4</f>
        <v>2174251.2891088002</v>
      </c>
      <c r="Y18" s="70">
        <f>K18*0.4</f>
        <v>2174251.2891088002</v>
      </c>
      <c r="Z18" s="70"/>
      <c r="AA18" s="70">
        <f>K18*0.2</f>
        <v>1087125.6445544001</v>
      </c>
      <c r="AB18" s="82"/>
      <c r="AC18" s="65" t="s">
        <v>45</v>
      </c>
      <c r="AD18" s="65"/>
      <c r="AE18" s="67" t="s">
        <v>46</v>
      </c>
      <c r="AF18" s="67" t="s">
        <v>67</v>
      </c>
      <c r="AG18" s="67" t="s">
        <v>46</v>
      </c>
      <c r="AH18" s="65"/>
      <c r="AI18" s="70">
        <f>65090+15372</f>
        <v>80462</v>
      </c>
      <c r="AJ18" s="65"/>
    </row>
    <row r="19" spans="1:36" s="76" customFormat="1" ht="24" x14ac:dyDescent="0.25">
      <c r="A19" s="64" t="s">
        <v>38</v>
      </c>
      <c r="B19" s="65" t="s">
        <v>39</v>
      </c>
      <c r="C19" s="65" t="s">
        <v>39</v>
      </c>
      <c r="D19" s="65" t="s">
        <v>39</v>
      </c>
      <c r="E19" s="66" t="s">
        <v>57</v>
      </c>
      <c r="F19" s="65" t="s">
        <v>40</v>
      </c>
      <c r="G19" s="66" t="s">
        <v>41</v>
      </c>
      <c r="H19" s="67" t="s">
        <v>58</v>
      </c>
      <c r="I19" s="67" t="s">
        <v>122</v>
      </c>
      <c r="J19" s="65"/>
      <c r="K19" s="68">
        <v>2978786.77</v>
      </c>
      <c r="L19" s="66">
        <v>1415</v>
      </c>
      <c r="M19" s="69">
        <f t="shared" ref="M19" si="8">K19/L19</f>
        <v>2105.1496607773852</v>
      </c>
      <c r="N19" s="69"/>
      <c r="O19" s="66">
        <v>8</v>
      </c>
      <c r="P19" s="64" t="s">
        <v>68</v>
      </c>
      <c r="Q19" s="70">
        <f t="shared" si="5"/>
        <v>2829847.4314999999</v>
      </c>
      <c r="R19" s="70">
        <f t="shared" si="6"/>
        <v>148939.33850000001</v>
      </c>
      <c r="S19" s="65"/>
      <c r="T19" s="71"/>
      <c r="U19" s="65"/>
      <c r="V19" s="72"/>
      <c r="W19" s="64"/>
      <c r="X19" s="70">
        <v>3001842.56</v>
      </c>
      <c r="Y19" s="73"/>
      <c r="Z19" s="70"/>
      <c r="AA19" s="82"/>
      <c r="AB19" s="82"/>
      <c r="AC19" s="65" t="s">
        <v>45</v>
      </c>
      <c r="AD19" s="65"/>
      <c r="AE19" s="67" t="s">
        <v>46</v>
      </c>
      <c r="AF19" s="67" t="s">
        <v>46</v>
      </c>
      <c r="AG19" s="67" t="s">
        <v>46</v>
      </c>
      <c r="AH19" s="65"/>
      <c r="AI19" s="70">
        <f>65090+10472</f>
        <v>75562</v>
      </c>
      <c r="AJ19" s="65"/>
    </row>
    <row r="20" spans="1:36" s="76" customFormat="1" ht="36" x14ac:dyDescent="0.25">
      <c r="A20" s="64" t="s">
        <v>38</v>
      </c>
      <c r="B20" s="65" t="s">
        <v>39</v>
      </c>
      <c r="C20" s="65" t="s">
        <v>39</v>
      </c>
      <c r="D20" s="65" t="s">
        <v>39</v>
      </c>
      <c r="E20" s="66" t="s">
        <v>64</v>
      </c>
      <c r="F20" s="65" t="s">
        <v>40</v>
      </c>
      <c r="G20" s="66" t="s">
        <v>41</v>
      </c>
      <c r="H20" s="64" t="s">
        <v>66</v>
      </c>
      <c r="I20" s="67" t="s">
        <v>123</v>
      </c>
      <c r="J20" s="65"/>
      <c r="K20" s="68">
        <v>5308838.34</v>
      </c>
      <c r="L20" s="66">
        <v>2325</v>
      </c>
      <c r="M20" s="69">
        <f>K20/L20</f>
        <v>2283.371329032258</v>
      </c>
      <c r="N20" s="69"/>
      <c r="O20" s="66">
        <v>16</v>
      </c>
      <c r="P20" s="64" t="s">
        <v>66</v>
      </c>
      <c r="Q20" s="70">
        <f t="shared" si="5"/>
        <v>5043396.4229999995</v>
      </c>
      <c r="R20" s="70">
        <f t="shared" si="6"/>
        <v>265441.91700000002</v>
      </c>
      <c r="S20" s="65"/>
      <c r="T20" s="96"/>
      <c r="U20" s="65"/>
      <c r="V20" s="65"/>
      <c r="W20" s="64"/>
      <c r="X20" s="70"/>
      <c r="Y20" s="70"/>
      <c r="Z20" s="70"/>
      <c r="AA20" s="70">
        <f>K20</f>
        <v>5308838.34</v>
      </c>
      <c r="AB20" s="82"/>
      <c r="AC20" s="65" t="s">
        <v>45</v>
      </c>
      <c r="AD20" s="65"/>
      <c r="AE20" s="67" t="s">
        <v>46</v>
      </c>
      <c r="AF20" s="67" t="s">
        <v>46</v>
      </c>
      <c r="AG20" s="67" t="s">
        <v>46</v>
      </c>
      <c r="AH20" s="65"/>
      <c r="AI20" s="70">
        <f>106950+46673</f>
        <v>153623</v>
      </c>
      <c r="AJ20" s="65"/>
    </row>
    <row r="21" spans="1:36" s="76" customFormat="1" ht="24" x14ac:dyDescent="0.25">
      <c r="A21" s="64" t="s">
        <v>38</v>
      </c>
      <c r="B21" s="65" t="s">
        <v>39</v>
      </c>
      <c r="C21" s="65" t="s">
        <v>39</v>
      </c>
      <c r="D21" s="65" t="s">
        <v>39</v>
      </c>
      <c r="E21" s="66" t="s">
        <v>69</v>
      </c>
      <c r="F21" s="67" t="s">
        <v>40</v>
      </c>
      <c r="G21" s="66" t="s">
        <v>41</v>
      </c>
      <c r="H21" s="67" t="s">
        <v>58</v>
      </c>
      <c r="I21" s="67" t="s">
        <v>70</v>
      </c>
      <c r="J21" s="67"/>
      <c r="K21" s="68">
        <v>1520655.74</v>
      </c>
      <c r="L21" s="66"/>
      <c r="M21" s="69"/>
      <c r="N21" s="69"/>
      <c r="O21" s="66">
        <v>1</v>
      </c>
      <c r="P21" s="67" t="s">
        <v>58</v>
      </c>
      <c r="Q21" s="70">
        <f t="shared" si="5"/>
        <v>1444622.953</v>
      </c>
      <c r="R21" s="70">
        <f t="shared" si="6"/>
        <v>76032.786999999997</v>
      </c>
      <c r="S21" s="65"/>
      <c r="T21" s="71"/>
      <c r="U21" s="65"/>
      <c r="V21" s="103"/>
      <c r="W21" s="64"/>
      <c r="X21" s="70"/>
      <c r="Y21" s="70">
        <v>1855200</v>
      </c>
      <c r="Z21" s="70"/>
      <c r="AA21" s="82"/>
      <c r="AB21" s="82"/>
      <c r="AC21" s="104" t="s">
        <v>45</v>
      </c>
      <c r="AD21" s="65"/>
      <c r="AE21" s="67" t="s">
        <v>46</v>
      </c>
      <c r="AF21" s="67" t="s">
        <v>46</v>
      </c>
      <c r="AG21" s="67" t="s">
        <v>46</v>
      </c>
      <c r="AH21" s="65"/>
      <c r="AI21" s="70">
        <v>64932</v>
      </c>
      <c r="AJ21" s="65"/>
    </row>
    <row r="22" spans="1:36" s="76" customFormat="1" ht="60" x14ac:dyDescent="0.25">
      <c r="A22" s="64" t="s">
        <v>38</v>
      </c>
      <c r="B22" s="65" t="s">
        <v>39</v>
      </c>
      <c r="C22" s="65" t="s">
        <v>39</v>
      </c>
      <c r="D22" s="65" t="s">
        <v>39</v>
      </c>
      <c r="E22" s="66" t="s">
        <v>71</v>
      </c>
      <c r="F22" s="65" t="s">
        <v>40</v>
      </c>
      <c r="G22" s="66" t="s">
        <v>41</v>
      </c>
      <c r="H22" s="67" t="s">
        <v>72</v>
      </c>
      <c r="I22" s="67" t="s">
        <v>73</v>
      </c>
      <c r="J22" s="67"/>
      <c r="K22" s="68">
        <v>210000</v>
      </c>
      <c r="L22" s="66">
        <v>10245</v>
      </c>
      <c r="M22" s="69">
        <f>K22/L22</f>
        <v>20.497803806734993</v>
      </c>
      <c r="N22" s="102"/>
      <c r="O22" s="66">
        <v>2</v>
      </c>
      <c r="P22" s="64" t="s">
        <v>74</v>
      </c>
      <c r="Q22" s="70">
        <f t="shared" si="5"/>
        <v>199500</v>
      </c>
      <c r="R22" s="70">
        <f t="shared" si="6"/>
        <v>10500</v>
      </c>
      <c r="S22" s="65"/>
      <c r="T22" s="71"/>
      <c r="U22" s="68"/>
      <c r="V22" s="96"/>
      <c r="W22" s="64"/>
      <c r="X22" s="70">
        <v>210000</v>
      </c>
      <c r="Y22" s="70">
        <v>210000</v>
      </c>
      <c r="Z22" s="70">
        <v>500000</v>
      </c>
      <c r="AA22" s="70">
        <v>1106042.3500000001</v>
      </c>
      <c r="AB22" s="82"/>
      <c r="AC22" s="65" t="s">
        <v>45</v>
      </c>
      <c r="AD22" s="65"/>
      <c r="AE22" s="67" t="s">
        <v>46</v>
      </c>
      <c r="AF22" s="67" t="s">
        <v>46</v>
      </c>
      <c r="AG22" s="67" t="s">
        <v>46</v>
      </c>
      <c r="AH22" s="65"/>
      <c r="AI22" s="70">
        <v>22120</v>
      </c>
      <c r="AJ22" s="65"/>
    </row>
    <row r="23" spans="1:36" s="76" customFormat="1" ht="24" x14ac:dyDescent="0.25">
      <c r="A23" s="64" t="s">
        <v>38</v>
      </c>
      <c r="B23" s="65" t="s">
        <v>39</v>
      </c>
      <c r="C23" s="65" t="s">
        <v>39</v>
      </c>
      <c r="D23" s="65" t="s">
        <v>39</v>
      </c>
      <c r="E23" s="66">
        <v>5</v>
      </c>
      <c r="F23" s="65" t="s">
        <v>40</v>
      </c>
      <c r="G23" s="66" t="s">
        <v>41</v>
      </c>
      <c r="H23" s="64" t="s">
        <v>75</v>
      </c>
      <c r="I23" s="67" t="s">
        <v>76</v>
      </c>
      <c r="J23" s="65"/>
      <c r="K23" s="68">
        <v>319319.31</v>
      </c>
      <c r="L23" s="66">
        <v>520</v>
      </c>
      <c r="M23" s="69">
        <f>K23/L23</f>
        <v>614.07559615384616</v>
      </c>
      <c r="N23" s="69"/>
      <c r="O23" s="66">
        <v>12</v>
      </c>
      <c r="P23" s="64" t="s">
        <v>75</v>
      </c>
      <c r="Q23" s="70">
        <f>K23*0.95</f>
        <v>303353.34450000001</v>
      </c>
      <c r="R23" s="70">
        <f>K23*0.05</f>
        <v>15965.9655</v>
      </c>
      <c r="S23" s="65"/>
      <c r="T23" s="71"/>
      <c r="U23" s="65"/>
      <c r="V23" s="105"/>
      <c r="W23" s="64"/>
      <c r="X23" s="70"/>
      <c r="Y23" s="70"/>
      <c r="Z23" s="70"/>
      <c r="AA23" s="70">
        <f>K23</f>
        <v>319319.31</v>
      </c>
      <c r="AB23" s="82"/>
      <c r="AC23" s="65" t="s">
        <v>77</v>
      </c>
      <c r="AD23" s="65"/>
      <c r="AE23" s="67" t="s">
        <v>46</v>
      </c>
      <c r="AF23" s="67" t="s">
        <v>46</v>
      </c>
      <c r="AG23" s="67" t="s">
        <v>46</v>
      </c>
      <c r="AH23" s="65"/>
      <c r="AI23" s="70">
        <v>23920</v>
      </c>
      <c r="AJ23" s="65"/>
    </row>
    <row r="24" spans="1:36" s="76" customFormat="1" ht="48" x14ac:dyDescent="0.25">
      <c r="A24" s="64" t="s">
        <v>38</v>
      </c>
      <c r="B24" s="65"/>
      <c r="C24" s="65"/>
      <c r="D24" s="65"/>
      <c r="E24" s="66"/>
      <c r="F24" s="65"/>
      <c r="G24" s="66"/>
      <c r="H24" s="64"/>
      <c r="I24" s="67" t="s">
        <v>165</v>
      </c>
      <c r="J24" s="65"/>
      <c r="K24" s="68">
        <v>300000</v>
      </c>
      <c r="L24" s="66"/>
      <c r="M24" s="69"/>
      <c r="N24" s="69"/>
      <c r="O24" s="66"/>
      <c r="P24" s="64"/>
      <c r="Q24" s="70">
        <f>K24*0.95</f>
        <v>285000</v>
      </c>
      <c r="R24" s="70">
        <f>K24*0.05</f>
        <v>15000</v>
      </c>
      <c r="S24" s="65"/>
      <c r="T24" s="71"/>
      <c r="U24" s="68"/>
      <c r="V24" s="105"/>
      <c r="W24" s="64"/>
      <c r="X24" s="70">
        <v>300000</v>
      </c>
      <c r="Y24" s="70">
        <v>300000</v>
      </c>
      <c r="Z24" s="70">
        <v>300000</v>
      </c>
      <c r="AA24" s="82"/>
      <c r="AB24" s="82"/>
      <c r="AC24" s="65"/>
      <c r="AD24" s="65"/>
      <c r="AE24" s="67" t="s">
        <v>46</v>
      </c>
      <c r="AF24" s="67" t="s">
        <v>46</v>
      </c>
      <c r="AG24" s="67" t="s">
        <v>46</v>
      </c>
      <c r="AH24" s="65"/>
      <c r="AI24" s="70"/>
      <c r="AJ24" s="65"/>
    </row>
    <row r="25" spans="1:36" s="76" customFormat="1" ht="36" x14ac:dyDescent="0.25">
      <c r="A25" s="64" t="s">
        <v>38</v>
      </c>
      <c r="B25" s="65" t="s">
        <v>39</v>
      </c>
      <c r="C25" s="65" t="s">
        <v>39</v>
      </c>
      <c r="D25" s="65" t="s">
        <v>39</v>
      </c>
      <c r="E25" s="66">
        <v>2</v>
      </c>
      <c r="F25" s="65" t="s">
        <v>40</v>
      </c>
      <c r="G25" s="66" t="s">
        <v>41</v>
      </c>
      <c r="H25" s="67" t="s">
        <v>50</v>
      </c>
      <c r="I25" s="67" t="s">
        <v>166</v>
      </c>
      <c r="J25" s="106"/>
      <c r="K25" s="68">
        <v>376109.15</v>
      </c>
      <c r="L25" s="66">
        <v>115764</v>
      </c>
      <c r="M25" s="69">
        <f>K25/L25</f>
        <v>3.248930150996856</v>
      </c>
      <c r="N25" s="69"/>
      <c r="O25" s="66">
        <v>10</v>
      </c>
      <c r="P25" s="64" t="s">
        <v>78</v>
      </c>
      <c r="Q25" s="70"/>
      <c r="R25" s="70"/>
      <c r="S25" s="65"/>
      <c r="T25" s="96"/>
      <c r="U25" s="65"/>
      <c r="V25" s="72"/>
      <c r="W25" s="64"/>
      <c r="X25" s="70"/>
      <c r="Y25" s="70"/>
      <c r="Z25" s="70"/>
      <c r="AA25" s="82"/>
      <c r="AB25" s="82"/>
      <c r="AC25" s="65" t="s">
        <v>45</v>
      </c>
      <c r="AD25" s="65"/>
      <c r="AE25" s="67" t="s">
        <v>46</v>
      </c>
      <c r="AF25" s="67" t="s">
        <v>46</v>
      </c>
      <c r="AG25" s="67" t="s">
        <v>46</v>
      </c>
      <c r="AH25" s="65"/>
      <c r="AI25" s="70">
        <v>14702.47</v>
      </c>
      <c r="AJ25" s="65"/>
    </row>
    <row r="26" spans="1:36" s="76" customFormat="1" ht="36" x14ac:dyDescent="0.25">
      <c r="A26" s="64" t="s">
        <v>38</v>
      </c>
      <c r="B26" s="65" t="s">
        <v>39</v>
      </c>
      <c r="C26" s="65" t="s">
        <v>39</v>
      </c>
      <c r="D26" s="65" t="s">
        <v>39</v>
      </c>
      <c r="E26" s="66">
        <v>1</v>
      </c>
      <c r="F26" s="65" t="s">
        <v>40</v>
      </c>
      <c r="G26" s="66" t="s">
        <v>41</v>
      </c>
      <c r="H26" s="64" t="s">
        <v>66</v>
      </c>
      <c r="I26" s="67" t="s">
        <v>79</v>
      </c>
      <c r="J26" s="65"/>
      <c r="K26" s="68">
        <v>2048298.73</v>
      </c>
      <c r="L26" s="66">
        <v>35000</v>
      </c>
      <c r="M26" s="69">
        <f>K26/L26</f>
        <v>58.522820857142854</v>
      </c>
      <c r="N26" s="69"/>
      <c r="O26" s="66">
        <v>17</v>
      </c>
      <c r="P26" s="64" t="s">
        <v>66</v>
      </c>
      <c r="Q26" s="70">
        <f>K26*0.95</f>
        <v>1945883.7934999999</v>
      </c>
      <c r="R26" s="70">
        <f>K26*0.05</f>
        <v>102414.93650000001</v>
      </c>
      <c r="S26" s="65"/>
      <c r="T26" s="96"/>
      <c r="U26" s="65"/>
      <c r="V26" s="65"/>
      <c r="W26" s="64" t="s">
        <v>127</v>
      </c>
      <c r="X26" s="70"/>
      <c r="Y26" s="70"/>
      <c r="Z26" s="70"/>
      <c r="AA26" s="70">
        <v>2048298.73</v>
      </c>
      <c r="AB26" s="82"/>
      <c r="AC26" s="65" t="s">
        <v>45</v>
      </c>
      <c r="AD26" s="65"/>
      <c r="AE26" s="67" t="s">
        <v>46</v>
      </c>
      <c r="AF26" s="67" t="s">
        <v>46</v>
      </c>
      <c r="AG26" s="67" t="s">
        <v>46</v>
      </c>
      <c r="AH26" s="65"/>
      <c r="AI26" s="70">
        <v>41189</v>
      </c>
      <c r="AJ26" s="65"/>
    </row>
    <row r="27" spans="1:36" s="76" customFormat="1" ht="36" x14ac:dyDescent="0.25">
      <c r="A27" s="64" t="s">
        <v>38</v>
      </c>
      <c r="B27" s="65" t="s">
        <v>39</v>
      </c>
      <c r="C27" s="65" t="s">
        <v>39</v>
      </c>
      <c r="D27" s="65" t="s">
        <v>39</v>
      </c>
      <c r="E27" s="66">
        <v>1</v>
      </c>
      <c r="F27" s="65" t="s">
        <v>40</v>
      </c>
      <c r="G27" s="66" t="s">
        <v>41</v>
      </c>
      <c r="H27" s="64" t="s">
        <v>66</v>
      </c>
      <c r="I27" s="67" t="s">
        <v>80</v>
      </c>
      <c r="J27" s="65"/>
      <c r="K27" s="68">
        <v>1465066.95</v>
      </c>
      <c r="L27" s="66">
        <v>485</v>
      </c>
      <c r="M27" s="69">
        <f>K27/L27</f>
        <v>3020.7565979381443</v>
      </c>
      <c r="N27" s="69"/>
      <c r="O27" s="66">
        <v>18</v>
      </c>
      <c r="P27" s="64" t="s">
        <v>66</v>
      </c>
      <c r="Q27" s="70">
        <f>K27*0.95</f>
        <v>1391813.6024999998</v>
      </c>
      <c r="R27" s="70">
        <f>K27*0.05</f>
        <v>73253.347500000003</v>
      </c>
      <c r="S27" s="65"/>
      <c r="T27" s="96"/>
      <c r="U27" s="65"/>
      <c r="V27" s="65"/>
      <c r="W27" s="64" t="s">
        <v>127</v>
      </c>
      <c r="X27" s="70"/>
      <c r="Y27" s="70">
        <v>250000</v>
      </c>
      <c r="Z27" s="70"/>
      <c r="AA27" s="70"/>
      <c r="AB27" s="82"/>
      <c r="AC27" s="65" t="s">
        <v>77</v>
      </c>
      <c r="AD27" s="65"/>
      <c r="AE27" s="67" t="s">
        <v>46</v>
      </c>
      <c r="AF27" s="67" t="s">
        <v>46</v>
      </c>
      <c r="AG27" s="67" t="s">
        <v>46</v>
      </c>
      <c r="AH27" s="65"/>
      <c r="AI27" s="70">
        <v>22310</v>
      </c>
      <c r="AJ27" s="65"/>
    </row>
    <row r="28" spans="1:36" s="76" customFormat="1" ht="36" x14ac:dyDescent="0.25">
      <c r="A28" s="64" t="s">
        <v>38</v>
      </c>
      <c r="B28" s="65" t="s">
        <v>39</v>
      </c>
      <c r="C28" s="65" t="s">
        <v>39</v>
      </c>
      <c r="D28" s="65" t="s">
        <v>39</v>
      </c>
      <c r="E28" s="66" t="s">
        <v>81</v>
      </c>
      <c r="F28" s="65" t="s">
        <v>40</v>
      </c>
      <c r="G28" s="66" t="s">
        <v>41</v>
      </c>
      <c r="H28" s="64" t="s">
        <v>66</v>
      </c>
      <c r="I28" s="67" t="s">
        <v>82</v>
      </c>
      <c r="J28" s="65"/>
      <c r="K28" s="68">
        <v>2600000</v>
      </c>
      <c r="L28" s="66"/>
      <c r="M28" s="69"/>
      <c r="N28" s="69"/>
      <c r="O28" s="65"/>
      <c r="P28" s="64" t="s">
        <v>83</v>
      </c>
      <c r="Q28" s="70"/>
      <c r="R28" s="70"/>
      <c r="S28" s="70">
        <v>2600000</v>
      </c>
      <c r="T28" s="71"/>
      <c r="U28" s="65"/>
      <c r="V28" s="72"/>
      <c r="W28" s="64"/>
      <c r="X28" s="70"/>
      <c r="Y28" s="70"/>
      <c r="Z28" s="97">
        <v>2600000</v>
      </c>
      <c r="AA28" s="70"/>
      <c r="AB28" s="82"/>
      <c r="AC28" s="65"/>
      <c r="AD28" s="65"/>
      <c r="AE28" s="107">
        <v>45107</v>
      </c>
      <c r="AF28" s="107" t="s">
        <v>46</v>
      </c>
      <c r="AG28" s="67"/>
      <c r="AH28" s="65"/>
      <c r="AI28" s="70">
        <f>K28*7/100</f>
        <v>182000</v>
      </c>
      <c r="AJ28" s="65"/>
    </row>
    <row r="29" spans="1:36" s="49" customFormat="1" ht="48" x14ac:dyDescent="0.25">
      <c r="A29" s="39" t="s">
        <v>38</v>
      </c>
      <c r="B29" s="40" t="s">
        <v>39</v>
      </c>
      <c r="C29" s="40" t="s">
        <v>39</v>
      </c>
      <c r="D29" s="40" t="s">
        <v>39</v>
      </c>
      <c r="E29" s="41">
        <v>13</v>
      </c>
      <c r="F29" s="40" t="s">
        <v>40</v>
      </c>
      <c r="G29" s="41" t="s">
        <v>41</v>
      </c>
      <c r="H29" s="39" t="s">
        <v>66</v>
      </c>
      <c r="I29" s="42" t="s">
        <v>84</v>
      </c>
      <c r="J29" s="40"/>
      <c r="K29" s="43">
        <v>2361176</v>
      </c>
      <c r="L29" s="41"/>
      <c r="M29" s="44"/>
      <c r="N29" s="44"/>
      <c r="O29" s="40"/>
      <c r="P29" s="39" t="s">
        <v>184</v>
      </c>
      <c r="Q29" s="38">
        <f t="shared" ref="Q29" si="9">K29*0.95</f>
        <v>2243117.1999999997</v>
      </c>
      <c r="R29" s="38">
        <f t="shared" ref="R29" si="10">K29*0.05</f>
        <v>118058.8</v>
      </c>
      <c r="S29" s="40"/>
      <c r="T29" s="45"/>
      <c r="U29" s="40"/>
      <c r="V29" s="46"/>
      <c r="W29" s="39" t="s">
        <v>144</v>
      </c>
      <c r="X29" s="38">
        <f>160000*1.22</f>
        <v>195200</v>
      </c>
      <c r="Y29" s="38"/>
      <c r="Z29" s="38"/>
      <c r="AA29" s="38"/>
      <c r="AB29" s="47"/>
      <c r="AC29" s="40"/>
      <c r="AD29" s="40"/>
      <c r="AE29" s="48">
        <v>43831</v>
      </c>
      <c r="AF29" s="48">
        <v>45627</v>
      </c>
      <c r="AG29" s="42"/>
      <c r="AH29" s="40"/>
      <c r="AI29" s="38">
        <f>X29*10/100</f>
        <v>19520</v>
      </c>
      <c r="AJ29" s="40"/>
    </row>
    <row r="30" spans="1:36" s="76" customFormat="1" ht="36" x14ac:dyDescent="0.25">
      <c r="A30" s="64" t="s">
        <v>38</v>
      </c>
      <c r="B30" s="65" t="s">
        <v>39</v>
      </c>
      <c r="C30" s="65" t="s">
        <v>39</v>
      </c>
      <c r="D30" s="65" t="s">
        <v>39</v>
      </c>
      <c r="E30" s="66" t="s">
        <v>87</v>
      </c>
      <c r="F30" s="65" t="s">
        <v>40</v>
      </c>
      <c r="G30" s="66" t="s">
        <v>41</v>
      </c>
      <c r="H30" s="65" t="s">
        <v>88</v>
      </c>
      <c r="I30" s="64" t="s">
        <v>124</v>
      </c>
      <c r="J30" s="65"/>
      <c r="K30" s="68">
        <v>3799393.52</v>
      </c>
      <c r="L30" s="66"/>
      <c r="M30" s="69"/>
      <c r="N30" s="69"/>
      <c r="O30" s="65"/>
      <c r="P30" s="64" t="s">
        <v>125</v>
      </c>
      <c r="Q30" s="68"/>
      <c r="R30" s="70"/>
      <c r="S30" s="65"/>
      <c r="T30" s="71"/>
      <c r="U30" s="65"/>
      <c r="V30" s="72"/>
      <c r="W30" s="64"/>
      <c r="X30" s="70">
        <f>K30*60%</f>
        <v>2279636.1119999997</v>
      </c>
      <c r="Y30" s="70"/>
      <c r="Z30" s="97">
        <f>K30-X30</f>
        <v>1519757.4080000003</v>
      </c>
      <c r="AA30" s="70"/>
      <c r="AB30" s="73"/>
      <c r="AC30" s="65" t="s">
        <v>46</v>
      </c>
      <c r="AD30" s="74" t="s">
        <v>86</v>
      </c>
      <c r="AE30" s="67" t="s">
        <v>46</v>
      </c>
      <c r="AF30" s="67" t="s">
        <v>46</v>
      </c>
      <c r="AG30" s="67" t="s">
        <v>46</v>
      </c>
      <c r="AH30" s="65"/>
      <c r="AI30" s="70">
        <f t="shared" ref="AI30:AI32" si="11">X30*10/100</f>
        <v>227963.61119999998</v>
      </c>
      <c r="AJ30" s="65"/>
    </row>
    <row r="31" spans="1:36" s="63" customFormat="1" ht="60" x14ac:dyDescent="0.25">
      <c r="A31" s="52" t="s">
        <v>38</v>
      </c>
      <c r="B31" s="53" t="s">
        <v>39</v>
      </c>
      <c r="C31" s="53" t="s">
        <v>39</v>
      </c>
      <c r="D31" s="53" t="s">
        <v>39</v>
      </c>
      <c r="E31" s="54">
        <v>9</v>
      </c>
      <c r="F31" s="53" t="s">
        <v>40</v>
      </c>
      <c r="G31" s="54" t="s">
        <v>41</v>
      </c>
      <c r="H31" s="52" t="s">
        <v>145</v>
      </c>
      <c r="I31" s="52" t="s">
        <v>181</v>
      </c>
      <c r="J31" s="53"/>
      <c r="K31" s="56">
        <v>400000</v>
      </c>
      <c r="L31" s="54"/>
      <c r="M31" s="57"/>
      <c r="N31" s="57"/>
      <c r="O31" s="53"/>
      <c r="P31" s="53" t="s">
        <v>126</v>
      </c>
      <c r="Q31" s="56"/>
      <c r="R31" s="58"/>
      <c r="S31" s="53"/>
      <c r="T31" s="59"/>
      <c r="U31" s="53"/>
      <c r="V31" s="60"/>
      <c r="W31" s="52"/>
      <c r="X31" s="58"/>
      <c r="Y31" s="58">
        <v>400000</v>
      </c>
      <c r="Z31" s="58">
        <v>400000</v>
      </c>
      <c r="AA31" s="58">
        <v>400000</v>
      </c>
      <c r="AB31" s="61"/>
      <c r="AC31" s="53" t="s">
        <v>46</v>
      </c>
      <c r="AD31" s="62">
        <v>45292</v>
      </c>
      <c r="AE31" s="55" t="s">
        <v>46</v>
      </c>
      <c r="AF31" s="62">
        <v>45627</v>
      </c>
      <c r="AG31" s="55" t="s">
        <v>46</v>
      </c>
      <c r="AH31" s="53"/>
      <c r="AI31" s="58">
        <f>Y31*10/100</f>
        <v>40000</v>
      </c>
      <c r="AJ31" s="53"/>
    </row>
    <row r="32" spans="1:36" s="76" customFormat="1" ht="15" x14ac:dyDescent="0.25">
      <c r="A32" s="64" t="s">
        <v>38</v>
      </c>
      <c r="B32" s="65"/>
      <c r="C32" s="65"/>
      <c r="D32" s="65"/>
      <c r="E32" s="66"/>
      <c r="F32" s="65"/>
      <c r="G32" s="66" t="s">
        <v>41</v>
      </c>
      <c r="H32" s="64" t="s">
        <v>148</v>
      </c>
      <c r="I32" s="64" t="s">
        <v>149</v>
      </c>
      <c r="J32" s="65"/>
      <c r="K32" s="68">
        <v>300000</v>
      </c>
      <c r="L32" s="66"/>
      <c r="M32" s="69"/>
      <c r="N32" s="69"/>
      <c r="O32" s="65"/>
      <c r="P32" s="65" t="s">
        <v>126</v>
      </c>
      <c r="Q32" s="68"/>
      <c r="R32" s="70"/>
      <c r="S32" s="65"/>
      <c r="T32" s="71"/>
      <c r="U32" s="68"/>
      <c r="V32" s="72"/>
      <c r="W32" s="64"/>
      <c r="X32" s="70"/>
      <c r="Y32" s="70">
        <v>300000</v>
      </c>
      <c r="Z32" s="70">
        <v>300000</v>
      </c>
      <c r="AA32" s="70">
        <v>300000</v>
      </c>
      <c r="AB32" s="73"/>
      <c r="AC32" s="65"/>
      <c r="AD32" s="74">
        <v>45292</v>
      </c>
      <c r="AE32" s="67" t="s">
        <v>46</v>
      </c>
      <c r="AF32" s="74">
        <v>45627</v>
      </c>
      <c r="AG32" s="67" t="s">
        <v>46</v>
      </c>
      <c r="AH32" s="65"/>
      <c r="AI32" s="70">
        <f>Y32*10/100</f>
        <v>30000</v>
      </c>
      <c r="AJ32" s="65"/>
    </row>
    <row r="33" spans="1:36" s="49" customFormat="1" ht="24" x14ac:dyDescent="0.25">
      <c r="A33" s="39" t="s">
        <v>38</v>
      </c>
      <c r="B33" s="40" t="s">
        <v>39</v>
      </c>
      <c r="C33" s="40" t="s">
        <v>39</v>
      </c>
      <c r="D33" s="40" t="s">
        <v>39</v>
      </c>
      <c r="E33" s="41">
        <v>10</v>
      </c>
      <c r="F33" s="40" t="s">
        <v>40</v>
      </c>
      <c r="G33" s="41" t="s">
        <v>41</v>
      </c>
      <c r="H33" s="39" t="s">
        <v>90</v>
      </c>
      <c r="I33" s="39" t="s">
        <v>91</v>
      </c>
      <c r="J33" s="40"/>
      <c r="K33" s="43">
        <v>2600000</v>
      </c>
      <c r="L33" s="41"/>
      <c r="M33" s="44"/>
      <c r="N33" s="44"/>
      <c r="O33" s="40"/>
      <c r="P33" s="39" t="s">
        <v>126</v>
      </c>
      <c r="Q33" s="43">
        <v>0</v>
      </c>
      <c r="R33" s="38"/>
      <c r="S33" s="40"/>
      <c r="T33" s="45"/>
      <c r="U33" s="43"/>
      <c r="V33" s="46"/>
      <c r="W33" s="39"/>
      <c r="X33" s="38">
        <v>2600000</v>
      </c>
      <c r="Y33" s="38">
        <v>2600000</v>
      </c>
      <c r="Z33" s="38">
        <v>2000000</v>
      </c>
      <c r="AA33" s="38">
        <v>2000000</v>
      </c>
      <c r="AB33" s="47"/>
      <c r="AC33" s="40"/>
      <c r="AD33" s="48">
        <v>45292</v>
      </c>
      <c r="AE33" s="48"/>
      <c r="AG33" s="48">
        <v>45627</v>
      </c>
      <c r="AH33" s="40"/>
      <c r="AI33" s="38">
        <f>X33*10/100</f>
        <v>260000</v>
      </c>
      <c r="AJ33" s="40"/>
    </row>
    <row r="34" spans="1:36" s="49" customFormat="1" ht="36" x14ac:dyDescent="0.25">
      <c r="A34" s="39" t="s">
        <v>38</v>
      </c>
      <c r="B34" s="40" t="s">
        <v>39</v>
      </c>
      <c r="C34" s="40" t="s">
        <v>39</v>
      </c>
      <c r="D34" s="40" t="s">
        <v>39</v>
      </c>
      <c r="E34" s="41">
        <v>10</v>
      </c>
      <c r="F34" s="40" t="s">
        <v>40</v>
      </c>
      <c r="G34" s="41" t="s">
        <v>41</v>
      </c>
      <c r="H34" s="39" t="s">
        <v>97</v>
      </c>
      <c r="I34" s="42" t="s">
        <v>198</v>
      </c>
      <c r="J34" s="40"/>
      <c r="K34" s="43">
        <v>443374.92</v>
      </c>
      <c r="L34" s="41"/>
      <c r="M34" s="44"/>
      <c r="N34" s="44"/>
      <c r="O34" s="40"/>
      <c r="P34" s="39" t="s">
        <v>190</v>
      </c>
      <c r="Q34" s="43"/>
      <c r="R34" s="43">
        <v>443374.92</v>
      </c>
      <c r="S34" s="40"/>
      <c r="T34" s="45"/>
      <c r="U34" s="40"/>
      <c r="V34" s="46"/>
      <c r="W34" s="39" t="s">
        <v>143</v>
      </c>
      <c r="X34" s="38">
        <f t="shared" ref="X34:X43" si="12">K34</f>
        <v>443374.92</v>
      </c>
      <c r="Y34" s="38"/>
      <c r="Z34" s="38"/>
      <c r="AA34" s="38"/>
      <c r="AB34" s="47"/>
      <c r="AC34" s="40"/>
      <c r="AD34" s="48">
        <v>45078</v>
      </c>
      <c r="AE34" s="50">
        <v>45352</v>
      </c>
      <c r="AF34" s="50">
        <v>45444</v>
      </c>
      <c r="AG34" s="48">
        <v>45444</v>
      </c>
      <c r="AH34" s="48">
        <v>45444</v>
      </c>
      <c r="AI34" s="38">
        <f>X34*15/100</f>
        <v>66506.237999999998</v>
      </c>
      <c r="AJ34" s="40"/>
    </row>
    <row r="35" spans="1:36" s="49" customFormat="1" ht="36" x14ac:dyDescent="0.25">
      <c r="A35" s="39" t="s">
        <v>38</v>
      </c>
      <c r="B35" s="40" t="s">
        <v>39</v>
      </c>
      <c r="C35" s="40" t="s">
        <v>39</v>
      </c>
      <c r="D35" s="40" t="s">
        <v>39</v>
      </c>
      <c r="E35" s="41">
        <v>10</v>
      </c>
      <c r="F35" s="40" t="s">
        <v>40</v>
      </c>
      <c r="G35" s="41" t="s">
        <v>41</v>
      </c>
      <c r="H35" s="39" t="s">
        <v>92</v>
      </c>
      <c r="I35" s="42" t="s">
        <v>85</v>
      </c>
      <c r="J35" s="40"/>
      <c r="K35" s="43">
        <f>(914000)*2</f>
        <v>1828000</v>
      </c>
      <c r="L35" s="41"/>
      <c r="M35" s="44"/>
      <c r="N35" s="44"/>
      <c r="O35" s="40"/>
      <c r="P35" s="39" t="s">
        <v>185</v>
      </c>
      <c r="Q35" s="43">
        <f>(914000)*2</f>
        <v>1828000</v>
      </c>
      <c r="R35" s="38"/>
      <c r="S35" s="40"/>
      <c r="T35" s="45"/>
      <c r="U35" s="40"/>
      <c r="V35" s="46"/>
      <c r="W35" s="39" t="s">
        <v>137</v>
      </c>
      <c r="X35" s="38">
        <f t="shared" si="12"/>
        <v>1828000</v>
      </c>
      <c r="Y35" s="38"/>
      <c r="Z35" s="51"/>
      <c r="AA35" s="38"/>
      <c r="AB35" s="47"/>
      <c r="AC35" s="40"/>
      <c r="AD35" s="48"/>
      <c r="AE35" s="48">
        <v>45292</v>
      </c>
      <c r="AF35" s="48"/>
      <c r="AG35" s="48">
        <v>45627</v>
      </c>
      <c r="AH35" s="40"/>
      <c r="AI35" s="38">
        <f>X35*15/100</f>
        <v>274200</v>
      </c>
      <c r="AJ35" s="40"/>
    </row>
    <row r="36" spans="1:36" s="49" customFormat="1" ht="36" x14ac:dyDescent="0.25">
      <c r="A36" s="39" t="s">
        <v>38</v>
      </c>
      <c r="B36" s="40" t="s">
        <v>39</v>
      </c>
      <c r="C36" s="40" t="s">
        <v>39</v>
      </c>
      <c r="D36" s="40" t="s">
        <v>39</v>
      </c>
      <c r="E36" s="41">
        <v>10</v>
      </c>
      <c r="F36" s="40" t="s">
        <v>40</v>
      </c>
      <c r="G36" s="41" t="s">
        <v>41</v>
      </c>
      <c r="H36" s="39" t="s">
        <v>93</v>
      </c>
      <c r="I36" s="42" t="s">
        <v>85</v>
      </c>
      <c r="J36" s="40"/>
      <c r="K36" s="43">
        <v>793000</v>
      </c>
      <c r="L36" s="41"/>
      <c r="M36" s="44"/>
      <c r="N36" s="44"/>
      <c r="O36" s="40"/>
      <c r="P36" s="39" t="s">
        <v>185</v>
      </c>
      <c r="Q36" s="43">
        <v>793000</v>
      </c>
      <c r="R36" s="38"/>
      <c r="S36" s="40"/>
      <c r="T36" s="45"/>
      <c r="U36" s="40"/>
      <c r="V36" s="46"/>
      <c r="W36" s="39" t="s">
        <v>137</v>
      </c>
      <c r="X36" s="38">
        <f t="shared" si="12"/>
        <v>793000</v>
      </c>
      <c r="Y36" s="38"/>
      <c r="Z36" s="51"/>
      <c r="AA36" s="38"/>
      <c r="AB36" s="47"/>
      <c r="AC36" s="40"/>
      <c r="AD36" s="48"/>
      <c r="AE36" s="48">
        <v>45536</v>
      </c>
      <c r="AF36" s="48"/>
      <c r="AG36" s="48">
        <v>45627</v>
      </c>
      <c r="AH36" s="40"/>
      <c r="AI36" s="38">
        <f>X36*15/100</f>
        <v>118950</v>
      </c>
      <c r="AJ36" s="40"/>
    </row>
    <row r="37" spans="1:36" s="49" customFormat="1" ht="48" x14ac:dyDescent="0.25">
      <c r="A37" s="39" t="s">
        <v>38</v>
      </c>
      <c r="B37" s="40" t="s">
        <v>39</v>
      </c>
      <c r="C37" s="40" t="s">
        <v>39</v>
      </c>
      <c r="D37" s="40" t="s">
        <v>39</v>
      </c>
      <c r="E37" s="41">
        <v>10</v>
      </c>
      <c r="F37" s="40" t="s">
        <v>40</v>
      </c>
      <c r="G37" s="41" t="s">
        <v>41</v>
      </c>
      <c r="H37" s="39" t="s">
        <v>138</v>
      </c>
      <c r="I37" s="42" t="s">
        <v>199</v>
      </c>
      <c r="J37" s="40"/>
      <c r="K37" s="43">
        <f>(2403000)*2-2148100</f>
        <v>2657900</v>
      </c>
      <c r="L37" s="41"/>
      <c r="M37" s="44"/>
      <c r="N37" s="44"/>
      <c r="O37" s="40"/>
      <c r="P37" s="39" t="s">
        <v>185</v>
      </c>
      <c r="Q37" s="43">
        <f>(2403000)*2</f>
        <v>4806000</v>
      </c>
      <c r="R37" s="38"/>
      <c r="S37" s="40"/>
      <c r="T37" s="45"/>
      <c r="U37" s="40"/>
      <c r="V37" s="46"/>
      <c r="W37" s="39" t="s">
        <v>137</v>
      </c>
      <c r="X37" s="38">
        <f t="shared" si="12"/>
        <v>2657900</v>
      </c>
      <c r="Y37" s="38"/>
      <c r="Z37" s="51"/>
      <c r="AA37" s="38"/>
      <c r="AB37" s="47"/>
      <c r="AC37" s="40"/>
      <c r="AD37" s="48"/>
      <c r="AE37" s="50">
        <v>45170</v>
      </c>
      <c r="AF37" s="50">
        <v>45261</v>
      </c>
      <c r="AG37" s="48">
        <v>45292</v>
      </c>
      <c r="AH37" s="40"/>
      <c r="AI37" s="38">
        <f>X37*15/100</f>
        <v>398685</v>
      </c>
      <c r="AJ37" s="40"/>
    </row>
    <row r="38" spans="1:36" s="49" customFormat="1" ht="36" x14ac:dyDescent="0.25">
      <c r="A38" s="39" t="s">
        <v>38</v>
      </c>
      <c r="B38" s="40" t="s">
        <v>39</v>
      </c>
      <c r="C38" s="40" t="s">
        <v>39</v>
      </c>
      <c r="D38" s="40" t="s">
        <v>39</v>
      </c>
      <c r="E38" s="108" t="s">
        <v>191</v>
      </c>
      <c r="F38" s="40" t="s">
        <v>40</v>
      </c>
      <c r="G38" s="41" t="s">
        <v>41</v>
      </c>
      <c r="H38" s="39" t="s">
        <v>95</v>
      </c>
      <c r="I38" s="42" t="s">
        <v>96</v>
      </c>
      <c r="J38" s="40"/>
      <c r="K38" s="43">
        <f>(5500000+1200000)*1</f>
        <v>6700000</v>
      </c>
      <c r="L38" s="41"/>
      <c r="M38" s="44"/>
      <c r="N38" s="44"/>
      <c r="O38" s="40"/>
      <c r="P38" s="39" t="s">
        <v>197</v>
      </c>
      <c r="Q38" s="38"/>
      <c r="R38" s="38"/>
      <c r="S38" s="40"/>
      <c r="T38" s="45"/>
      <c r="U38" s="40"/>
      <c r="V38" s="46"/>
      <c r="W38" s="39"/>
      <c r="X38" s="38">
        <f t="shared" si="12"/>
        <v>6700000</v>
      </c>
      <c r="Y38" s="38"/>
      <c r="Z38" s="51"/>
      <c r="AA38" s="38"/>
      <c r="AB38" s="47"/>
      <c r="AC38" s="40"/>
      <c r="AD38" s="48"/>
      <c r="AE38" s="40"/>
      <c r="AF38" s="40"/>
      <c r="AG38" s="48"/>
      <c r="AH38" s="40"/>
      <c r="AI38" s="38"/>
      <c r="AJ38" s="40"/>
    </row>
    <row r="39" spans="1:36" s="49" customFormat="1" ht="24" x14ac:dyDescent="0.25">
      <c r="A39" s="39" t="s">
        <v>38</v>
      </c>
      <c r="B39" s="40" t="s">
        <v>39</v>
      </c>
      <c r="C39" s="40" t="s">
        <v>39</v>
      </c>
      <c r="D39" s="40" t="s">
        <v>39</v>
      </c>
      <c r="E39" s="108" t="s">
        <v>191</v>
      </c>
      <c r="F39" s="40" t="s">
        <v>40</v>
      </c>
      <c r="G39" s="41"/>
      <c r="H39" s="39" t="s">
        <v>192</v>
      </c>
      <c r="I39" s="42" t="s">
        <v>193</v>
      </c>
      <c r="J39" s="40"/>
      <c r="K39" s="43">
        <v>28000000</v>
      </c>
      <c r="L39" s="41"/>
      <c r="M39" s="44"/>
      <c r="N39" s="44"/>
      <c r="O39" s="40"/>
      <c r="P39" s="39" t="s">
        <v>196</v>
      </c>
      <c r="Q39" s="38"/>
      <c r="R39" s="38"/>
      <c r="S39" s="40"/>
      <c r="T39" s="45"/>
      <c r="U39" s="40"/>
      <c r="V39" s="46"/>
      <c r="W39" s="39"/>
      <c r="X39" s="38" t="s">
        <v>133</v>
      </c>
      <c r="Y39" s="38"/>
      <c r="Z39" s="51"/>
      <c r="AA39" s="38"/>
      <c r="AB39" s="47"/>
      <c r="AC39" s="40"/>
      <c r="AD39" s="48"/>
      <c r="AE39" s="40"/>
      <c r="AF39" s="40"/>
      <c r="AG39" s="48"/>
      <c r="AH39" s="40"/>
      <c r="AI39" s="38"/>
      <c r="AJ39" s="40"/>
    </row>
    <row r="40" spans="1:36" s="49" customFormat="1" ht="72" x14ac:dyDescent="0.25">
      <c r="A40" s="39" t="s">
        <v>38</v>
      </c>
      <c r="B40" s="40" t="s">
        <v>39</v>
      </c>
      <c r="C40" s="40" t="s">
        <v>39</v>
      </c>
      <c r="D40" s="40" t="s">
        <v>39</v>
      </c>
      <c r="E40" s="108" t="s">
        <v>191</v>
      </c>
      <c r="F40" s="40" t="s">
        <v>40</v>
      </c>
      <c r="G40" s="39" t="s">
        <v>192</v>
      </c>
      <c r="H40" s="42" t="s">
        <v>195</v>
      </c>
      <c r="I40" s="42" t="s">
        <v>194</v>
      </c>
      <c r="J40" s="39" t="s">
        <v>89</v>
      </c>
      <c r="K40" s="43">
        <v>27000000</v>
      </c>
      <c r="L40" s="38"/>
      <c r="M40" s="51"/>
      <c r="N40" s="38"/>
      <c r="O40" s="47"/>
      <c r="P40" s="39" t="s">
        <v>196</v>
      </c>
      <c r="Q40" s="48"/>
      <c r="R40" s="40"/>
      <c r="S40" s="40"/>
      <c r="T40" s="48"/>
      <c r="U40" s="40"/>
      <c r="V40" s="38"/>
      <c r="W40" s="40"/>
      <c r="X40" s="38"/>
      <c r="Y40" s="38"/>
      <c r="Z40" s="51"/>
      <c r="AA40" s="38"/>
      <c r="AB40" s="47"/>
      <c r="AC40" s="40"/>
      <c r="AD40" s="48"/>
      <c r="AE40" s="40"/>
      <c r="AF40" s="40"/>
      <c r="AG40" s="48"/>
      <c r="AH40" s="40"/>
      <c r="AI40" s="38"/>
      <c r="AJ40" s="40"/>
    </row>
    <row r="41" spans="1:36" s="49" customFormat="1" ht="36" x14ac:dyDescent="0.25">
      <c r="A41" s="39" t="s">
        <v>38</v>
      </c>
      <c r="B41" s="40" t="s">
        <v>39</v>
      </c>
      <c r="C41" s="40" t="s">
        <v>39</v>
      </c>
      <c r="D41" s="40" t="s">
        <v>39</v>
      </c>
      <c r="E41" s="41">
        <v>10</v>
      </c>
      <c r="F41" s="40" t="s">
        <v>40</v>
      </c>
      <c r="G41" s="41" t="s">
        <v>41</v>
      </c>
      <c r="H41" s="39" t="s">
        <v>94</v>
      </c>
      <c r="I41" s="42" t="s">
        <v>85</v>
      </c>
      <c r="J41" s="40"/>
      <c r="K41" s="43">
        <f>(274500)*2</f>
        <v>549000</v>
      </c>
      <c r="L41" s="41"/>
      <c r="M41" s="44"/>
      <c r="N41" s="44"/>
      <c r="O41" s="40"/>
      <c r="P41" s="39" t="s">
        <v>186</v>
      </c>
      <c r="Q41" s="43">
        <f>(274500)*2</f>
        <v>549000</v>
      </c>
      <c r="R41" s="38"/>
      <c r="S41" s="40"/>
      <c r="T41" s="45"/>
      <c r="U41" s="40"/>
      <c r="V41" s="46"/>
      <c r="W41" s="39" t="s">
        <v>139</v>
      </c>
      <c r="X41" s="38">
        <f t="shared" si="12"/>
        <v>549000</v>
      </c>
      <c r="Y41" s="38"/>
      <c r="Z41" s="51"/>
      <c r="AA41" s="38"/>
      <c r="AB41" s="47"/>
      <c r="AC41" s="40"/>
      <c r="AD41" s="48"/>
      <c r="AE41" s="50">
        <v>45566</v>
      </c>
      <c r="AF41" s="50">
        <v>45627</v>
      </c>
      <c r="AG41" s="50">
        <v>45627</v>
      </c>
      <c r="AH41" s="40"/>
      <c r="AI41" s="38">
        <f>X41*10/100</f>
        <v>54900</v>
      </c>
      <c r="AJ41" s="40"/>
    </row>
    <row r="42" spans="1:36" s="49" customFormat="1" ht="36" x14ac:dyDescent="0.25">
      <c r="A42" s="39" t="s">
        <v>38</v>
      </c>
      <c r="B42" s="40" t="s">
        <v>39</v>
      </c>
      <c r="C42" s="40" t="s">
        <v>39</v>
      </c>
      <c r="D42" s="40" t="s">
        <v>39</v>
      </c>
      <c r="E42" s="41">
        <v>10</v>
      </c>
      <c r="F42" s="40" t="s">
        <v>40</v>
      </c>
      <c r="G42" s="41" t="s">
        <v>41</v>
      </c>
      <c r="H42" s="39" t="s">
        <v>136</v>
      </c>
      <c r="I42" s="42" t="s">
        <v>85</v>
      </c>
      <c r="J42" s="40"/>
      <c r="K42" s="43">
        <f>(1178637)</f>
        <v>1178637</v>
      </c>
      <c r="L42" s="41"/>
      <c r="M42" s="44"/>
      <c r="N42" s="44"/>
      <c r="O42" s="40"/>
      <c r="P42" s="39" t="s">
        <v>187</v>
      </c>
      <c r="Q42" s="38"/>
      <c r="R42" s="38"/>
      <c r="S42" s="40"/>
      <c r="T42" s="45"/>
      <c r="U42" s="40"/>
      <c r="V42" s="46"/>
      <c r="W42" s="39" t="s">
        <v>141</v>
      </c>
      <c r="X42" s="38">
        <f t="shared" si="12"/>
        <v>1178637</v>
      </c>
      <c r="Y42" s="38"/>
      <c r="Z42" s="51"/>
      <c r="AA42" s="38"/>
      <c r="AB42" s="47"/>
      <c r="AC42" s="40"/>
      <c r="AD42" s="48"/>
      <c r="AE42" s="50">
        <v>45139</v>
      </c>
      <c r="AF42" s="50">
        <v>45261</v>
      </c>
      <c r="AG42" s="48">
        <v>45292</v>
      </c>
      <c r="AH42" s="40"/>
      <c r="AI42" s="38">
        <f>X42*10/100</f>
        <v>117863.7</v>
      </c>
      <c r="AJ42" s="40"/>
    </row>
    <row r="43" spans="1:36" s="49" customFormat="1" ht="36" x14ac:dyDescent="0.25">
      <c r="A43" s="39" t="s">
        <v>38</v>
      </c>
      <c r="B43" s="40" t="s">
        <v>39</v>
      </c>
      <c r="C43" s="40" t="s">
        <v>39</v>
      </c>
      <c r="D43" s="40" t="s">
        <v>39</v>
      </c>
      <c r="E43" s="41">
        <v>10</v>
      </c>
      <c r="F43" s="40" t="s">
        <v>40</v>
      </c>
      <c r="G43" s="41" t="s">
        <v>41</v>
      </c>
      <c r="H43" s="39" t="s">
        <v>182</v>
      </c>
      <c r="I43" s="42" t="s">
        <v>85</v>
      </c>
      <c r="J43" s="40"/>
      <c r="K43" s="43">
        <f>(186000+60000)*3</f>
        <v>738000</v>
      </c>
      <c r="L43" s="41"/>
      <c r="M43" s="44"/>
      <c r="N43" s="44"/>
      <c r="O43" s="40"/>
      <c r="P43" s="39" t="s">
        <v>140</v>
      </c>
      <c r="Q43" s="38">
        <v>743100</v>
      </c>
      <c r="R43" s="38"/>
      <c r="S43" s="40"/>
      <c r="T43" s="45"/>
      <c r="U43" s="40"/>
      <c r="V43" s="46"/>
      <c r="W43" s="39" t="s">
        <v>142</v>
      </c>
      <c r="X43" s="38">
        <f t="shared" si="12"/>
        <v>738000</v>
      </c>
      <c r="Y43" s="38"/>
      <c r="Z43" s="51"/>
      <c r="AA43" s="38"/>
      <c r="AB43" s="47"/>
      <c r="AC43" s="40"/>
      <c r="AD43" s="48"/>
      <c r="AE43" s="50">
        <v>45566</v>
      </c>
      <c r="AF43" s="50">
        <v>45627</v>
      </c>
      <c r="AG43" s="50">
        <v>45627</v>
      </c>
      <c r="AH43" s="40"/>
      <c r="AI43" s="38">
        <f>X43*10/100</f>
        <v>73800</v>
      </c>
      <c r="AJ43" s="40"/>
    </row>
    <row r="44" spans="1:36" s="76" customFormat="1" ht="24" x14ac:dyDescent="0.25">
      <c r="A44" s="64" t="s">
        <v>38</v>
      </c>
      <c r="B44" s="65"/>
      <c r="C44" s="65"/>
      <c r="D44" s="65"/>
      <c r="E44" s="66"/>
      <c r="F44" s="65"/>
      <c r="G44" s="66" t="s">
        <v>41</v>
      </c>
      <c r="H44" s="64" t="s">
        <v>150</v>
      </c>
      <c r="I44" s="67" t="s">
        <v>150</v>
      </c>
      <c r="J44" s="65"/>
      <c r="K44" s="68">
        <v>173075</v>
      </c>
      <c r="L44" s="66"/>
      <c r="M44" s="69"/>
      <c r="N44" s="69"/>
      <c r="O44" s="65"/>
      <c r="P44" s="64" t="s">
        <v>140</v>
      </c>
      <c r="Q44" s="68">
        <v>173075</v>
      </c>
      <c r="R44" s="70"/>
      <c r="S44" s="65"/>
      <c r="T44" s="71"/>
      <c r="U44" s="65"/>
      <c r="V44" s="72"/>
      <c r="W44" s="64"/>
      <c r="X44" s="70"/>
      <c r="Y44" s="70"/>
      <c r="Z44" s="68">
        <v>173075</v>
      </c>
      <c r="AA44" s="70"/>
      <c r="AB44" s="73"/>
      <c r="AC44" s="65"/>
      <c r="AD44" s="74"/>
      <c r="AE44" s="75">
        <v>44927</v>
      </c>
      <c r="AF44" s="75">
        <v>45261</v>
      </c>
      <c r="AG44" s="74"/>
      <c r="AH44" s="65"/>
      <c r="AI44" s="70">
        <f>Z44*0.15</f>
        <v>25961.25</v>
      </c>
      <c r="AJ44" s="65"/>
    </row>
    <row r="45" spans="1:36" s="76" customFormat="1" ht="48" x14ac:dyDescent="0.25">
      <c r="A45" s="64" t="s">
        <v>38</v>
      </c>
      <c r="B45" s="65"/>
      <c r="C45" s="65"/>
      <c r="D45" s="65"/>
      <c r="E45" s="66"/>
      <c r="F45" s="65"/>
      <c r="G45" s="66" t="s">
        <v>41</v>
      </c>
      <c r="H45" s="64" t="s">
        <v>151</v>
      </c>
      <c r="I45" s="67" t="s">
        <v>152</v>
      </c>
      <c r="J45" s="65"/>
      <c r="K45" s="68">
        <v>52415.21</v>
      </c>
      <c r="L45" s="66"/>
      <c r="M45" s="69"/>
      <c r="N45" s="69"/>
      <c r="O45" s="65"/>
      <c r="P45" s="64" t="s">
        <v>140</v>
      </c>
      <c r="Q45" s="68">
        <v>52415.21</v>
      </c>
      <c r="R45" s="70"/>
      <c r="S45" s="65"/>
      <c r="T45" s="71"/>
      <c r="U45" s="65"/>
      <c r="V45" s="72"/>
      <c r="W45" s="64"/>
      <c r="X45" s="70"/>
      <c r="Y45" s="70"/>
      <c r="Z45" s="68">
        <v>52415.21</v>
      </c>
      <c r="AA45" s="70"/>
      <c r="AB45" s="73"/>
      <c r="AC45" s="65"/>
      <c r="AD45" s="74"/>
      <c r="AE45" s="75">
        <v>45078</v>
      </c>
      <c r="AF45" s="75" t="s">
        <v>154</v>
      </c>
      <c r="AG45" s="74"/>
      <c r="AH45" s="65"/>
      <c r="AI45" s="70">
        <f>Z45*0.15</f>
        <v>7862.2814999999991</v>
      </c>
      <c r="AJ45" s="65"/>
    </row>
    <row r="46" spans="1:36" s="76" customFormat="1" ht="24" x14ac:dyDescent="0.25">
      <c r="A46" s="64" t="s">
        <v>38</v>
      </c>
      <c r="B46" s="65"/>
      <c r="C46" s="65"/>
      <c r="D46" s="65"/>
      <c r="E46" s="66"/>
      <c r="F46" s="65"/>
      <c r="G46" s="66" t="s">
        <v>41</v>
      </c>
      <c r="H46" s="64" t="s">
        <v>153</v>
      </c>
      <c r="I46" s="67" t="s">
        <v>153</v>
      </c>
      <c r="J46" s="65"/>
      <c r="K46" s="68">
        <v>71328.19</v>
      </c>
      <c r="L46" s="66"/>
      <c r="M46" s="69"/>
      <c r="N46" s="69"/>
      <c r="O46" s="65"/>
      <c r="P46" s="64" t="s">
        <v>140</v>
      </c>
      <c r="Q46" s="68">
        <v>71328.19</v>
      </c>
      <c r="R46" s="70"/>
      <c r="S46" s="65"/>
      <c r="T46" s="71"/>
      <c r="U46" s="65"/>
      <c r="V46" s="72"/>
      <c r="W46" s="64"/>
      <c r="X46" s="70"/>
      <c r="Y46" s="70"/>
      <c r="Z46" s="68">
        <v>71328.19</v>
      </c>
      <c r="AA46" s="70"/>
      <c r="AB46" s="73"/>
      <c r="AC46" s="65"/>
      <c r="AD46" s="74"/>
      <c r="AE46" s="75">
        <v>44927</v>
      </c>
      <c r="AF46" s="75">
        <v>45261</v>
      </c>
      <c r="AG46" s="74"/>
      <c r="AH46" s="65"/>
      <c r="AI46" s="70">
        <f>Z46*0.15</f>
        <v>10699.228499999999</v>
      </c>
      <c r="AJ46" s="65"/>
    </row>
    <row r="47" spans="1:36" s="76" customFormat="1" ht="24" x14ac:dyDescent="0.25">
      <c r="A47" s="64" t="s">
        <v>38</v>
      </c>
      <c r="B47" s="65"/>
      <c r="C47" s="65"/>
      <c r="D47" s="65"/>
      <c r="E47" s="66"/>
      <c r="F47" s="65"/>
      <c r="G47" s="66" t="s">
        <v>41</v>
      </c>
      <c r="H47" s="64" t="s">
        <v>155</v>
      </c>
      <c r="I47" s="67" t="s">
        <v>155</v>
      </c>
      <c r="J47" s="65"/>
      <c r="K47" s="68">
        <v>10476994</v>
      </c>
      <c r="L47" s="66"/>
      <c r="M47" s="69"/>
      <c r="N47" s="69"/>
      <c r="O47" s="65"/>
      <c r="P47" s="64" t="s">
        <v>140</v>
      </c>
      <c r="Q47" s="68">
        <v>10476994</v>
      </c>
      <c r="R47" s="70"/>
      <c r="S47" s="65"/>
      <c r="T47" s="71"/>
      <c r="U47" s="65"/>
      <c r="V47" s="72"/>
      <c r="W47" s="64"/>
      <c r="X47" s="70"/>
      <c r="Y47" s="70"/>
      <c r="Z47" s="68">
        <v>10476994</v>
      </c>
      <c r="AA47" s="70"/>
      <c r="AB47" s="73"/>
      <c r="AC47" s="65"/>
      <c r="AD47" s="74"/>
      <c r="AE47" s="75">
        <v>45078</v>
      </c>
      <c r="AF47" s="75">
        <v>45992</v>
      </c>
      <c r="AG47" s="74"/>
      <c r="AH47" s="65"/>
      <c r="AI47" s="70">
        <f>Z47*0.15</f>
        <v>1571549.0999999999</v>
      </c>
      <c r="AJ47" s="65"/>
    </row>
    <row r="48" spans="1:36" s="63" customFormat="1" ht="15" x14ac:dyDescent="0.25">
      <c r="A48" s="52" t="s">
        <v>38</v>
      </c>
      <c r="B48" s="77"/>
      <c r="C48" s="77"/>
      <c r="D48" s="77"/>
      <c r="E48" s="77"/>
      <c r="F48" s="77"/>
      <c r="G48" s="77" t="s">
        <v>41</v>
      </c>
      <c r="H48" s="77" t="s">
        <v>146</v>
      </c>
      <c r="I48" s="78" t="s">
        <v>146</v>
      </c>
      <c r="J48" s="77"/>
      <c r="K48" s="79">
        <v>3457454.25</v>
      </c>
      <c r="L48" s="77"/>
      <c r="M48" s="77"/>
      <c r="N48" s="77"/>
      <c r="O48" s="77"/>
      <c r="P48" s="80" t="s">
        <v>140</v>
      </c>
      <c r="Q48" s="79">
        <v>3457454.25</v>
      </c>
      <c r="R48" s="77"/>
      <c r="S48" s="77"/>
      <c r="T48" s="77"/>
      <c r="U48" s="77"/>
      <c r="V48" s="77"/>
      <c r="W48" s="77"/>
      <c r="X48" s="58"/>
      <c r="Y48" s="58"/>
      <c r="Z48" s="79">
        <v>3457454.25</v>
      </c>
      <c r="AA48" s="58"/>
      <c r="AB48" s="77"/>
      <c r="AC48" s="77"/>
      <c r="AD48" s="77"/>
      <c r="AE48" s="125">
        <v>44986</v>
      </c>
      <c r="AF48" s="125" t="s">
        <v>147</v>
      </c>
      <c r="AG48" s="77"/>
      <c r="AH48" s="77"/>
      <c r="AI48" s="81">
        <f>Z48*10/100</f>
        <v>345745.42499999999</v>
      </c>
      <c r="AJ48" s="77"/>
    </row>
    <row r="49" spans="1:36" s="76" customFormat="1" ht="36" x14ac:dyDescent="0.25">
      <c r="A49" s="64" t="s">
        <v>38</v>
      </c>
      <c r="B49" s="65" t="s">
        <v>39</v>
      </c>
      <c r="C49" s="65" t="s">
        <v>39</v>
      </c>
      <c r="D49" s="65" t="s">
        <v>39</v>
      </c>
      <c r="E49" s="66"/>
      <c r="F49" s="65"/>
      <c r="G49" s="66" t="s">
        <v>41</v>
      </c>
      <c r="H49" s="64" t="s">
        <v>167</v>
      </c>
      <c r="I49" s="67" t="s">
        <v>168</v>
      </c>
      <c r="J49" s="65"/>
      <c r="K49" s="68">
        <v>700000</v>
      </c>
      <c r="L49" s="66"/>
      <c r="M49" s="69"/>
      <c r="N49" s="69"/>
      <c r="O49" s="65"/>
      <c r="P49" s="64"/>
      <c r="Q49" s="68"/>
      <c r="R49" s="70"/>
      <c r="S49" s="65"/>
      <c r="T49" s="71"/>
      <c r="U49" s="65"/>
      <c r="V49" s="72"/>
      <c r="W49" s="64"/>
      <c r="X49" s="70"/>
      <c r="Y49" s="97">
        <v>700000</v>
      </c>
      <c r="Z49" s="68"/>
      <c r="AA49" s="97"/>
      <c r="AB49" s="73"/>
      <c r="AC49" s="65"/>
      <c r="AD49" s="74"/>
      <c r="AE49" s="75">
        <v>45078</v>
      </c>
      <c r="AF49" s="75">
        <v>45261</v>
      </c>
      <c r="AG49" s="74"/>
      <c r="AH49" s="65"/>
      <c r="AI49" s="70">
        <f t="shared" ref="AI49:AI55" si="13">Z49*15/100</f>
        <v>0</v>
      </c>
      <c r="AJ49" s="65"/>
    </row>
    <row r="50" spans="1:36" s="76" customFormat="1" ht="24" x14ac:dyDescent="0.25">
      <c r="A50" s="64" t="s">
        <v>38</v>
      </c>
      <c r="B50" s="65" t="s">
        <v>39</v>
      </c>
      <c r="C50" s="65" t="s">
        <v>39</v>
      </c>
      <c r="D50" s="65" t="s">
        <v>39</v>
      </c>
      <c r="E50" s="66"/>
      <c r="F50" s="65"/>
      <c r="G50" s="66" t="s">
        <v>41</v>
      </c>
      <c r="H50" s="64" t="s">
        <v>169</v>
      </c>
      <c r="I50" s="67" t="s">
        <v>170</v>
      </c>
      <c r="J50" s="65"/>
      <c r="K50" s="68">
        <v>300000</v>
      </c>
      <c r="L50" s="66"/>
      <c r="M50" s="69"/>
      <c r="N50" s="69"/>
      <c r="O50" s="65"/>
      <c r="P50" s="64"/>
      <c r="Q50" s="68"/>
      <c r="R50" s="70"/>
      <c r="S50" s="65"/>
      <c r="T50" s="71"/>
      <c r="U50" s="65"/>
      <c r="V50" s="72"/>
      <c r="W50" s="64"/>
      <c r="X50" s="70"/>
      <c r="Y50" s="97">
        <v>300000</v>
      </c>
      <c r="Z50" s="68"/>
      <c r="AA50" s="97"/>
      <c r="AB50" s="73"/>
      <c r="AC50" s="65"/>
      <c r="AD50" s="74"/>
      <c r="AE50" s="75">
        <v>45078</v>
      </c>
      <c r="AF50" s="75">
        <v>45261</v>
      </c>
      <c r="AG50" s="74"/>
      <c r="AH50" s="65"/>
      <c r="AI50" s="70">
        <f t="shared" si="13"/>
        <v>0</v>
      </c>
      <c r="AJ50" s="65"/>
    </row>
    <row r="51" spans="1:36" s="76" customFormat="1" ht="36" x14ac:dyDescent="0.25">
      <c r="A51" s="64" t="s">
        <v>38</v>
      </c>
      <c r="B51" s="65" t="s">
        <v>39</v>
      </c>
      <c r="C51" s="65" t="s">
        <v>39</v>
      </c>
      <c r="D51" s="65" t="s">
        <v>39</v>
      </c>
      <c r="E51" s="66"/>
      <c r="F51" s="65"/>
      <c r="G51" s="66" t="s">
        <v>41</v>
      </c>
      <c r="H51" s="64" t="s">
        <v>188</v>
      </c>
      <c r="I51" s="67" t="s">
        <v>174</v>
      </c>
      <c r="J51" s="65"/>
      <c r="K51" s="68">
        <v>2000000</v>
      </c>
      <c r="L51" s="66"/>
      <c r="M51" s="69"/>
      <c r="N51" s="69"/>
      <c r="O51" s="65"/>
      <c r="P51" s="64"/>
      <c r="Q51" s="68"/>
      <c r="R51" s="70"/>
      <c r="S51" s="65"/>
      <c r="T51" s="71"/>
      <c r="U51" s="65"/>
      <c r="V51" s="72"/>
      <c r="W51" s="64"/>
      <c r="X51" s="70">
        <v>1500000</v>
      </c>
      <c r="Y51" s="97">
        <v>900000</v>
      </c>
      <c r="Z51" s="68"/>
      <c r="AA51" s="97"/>
      <c r="AB51" s="73"/>
      <c r="AC51" s="65"/>
      <c r="AD51" s="74"/>
      <c r="AE51" s="75">
        <v>45078</v>
      </c>
      <c r="AF51" s="75">
        <v>45261</v>
      </c>
      <c r="AG51" s="74"/>
      <c r="AH51" s="65"/>
      <c r="AI51" s="70">
        <f t="shared" si="13"/>
        <v>0</v>
      </c>
      <c r="AJ51" s="65"/>
    </row>
    <row r="52" spans="1:36" s="76" customFormat="1" ht="24" x14ac:dyDescent="0.25">
      <c r="A52" s="64" t="s">
        <v>38</v>
      </c>
      <c r="B52" s="65" t="s">
        <v>39</v>
      </c>
      <c r="C52" s="65" t="s">
        <v>39</v>
      </c>
      <c r="D52" s="65" t="s">
        <v>39</v>
      </c>
      <c r="E52" s="66"/>
      <c r="F52" s="65"/>
      <c r="G52" s="66" t="s">
        <v>41</v>
      </c>
      <c r="H52" s="64" t="s">
        <v>173</v>
      </c>
      <c r="I52" s="67" t="s">
        <v>175</v>
      </c>
      <c r="J52" s="65"/>
      <c r="K52" s="68">
        <v>250000</v>
      </c>
      <c r="L52" s="66"/>
      <c r="M52" s="69"/>
      <c r="N52" s="69"/>
      <c r="O52" s="65"/>
      <c r="P52" s="64"/>
      <c r="Q52" s="68"/>
      <c r="R52" s="70"/>
      <c r="S52" s="65"/>
      <c r="T52" s="71"/>
      <c r="U52" s="65"/>
      <c r="V52" s="72"/>
      <c r="W52" s="64"/>
      <c r="X52" s="70"/>
      <c r="Y52" s="97">
        <v>250000</v>
      </c>
      <c r="Z52" s="68"/>
      <c r="AA52" s="97"/>
      <c r="AB52" s="73"/>
      <c r="AC52" s="65"/>
      <c r="AD52" s="74"/>
      <c r="AE52" s="75">
        <v>45078</v>
      </c>
      <c r="AF52" s="75">
        <v>45261</v>
      </c>
      <c r="AG52" s="74"/>
      <c r="AH52" s="65"/>
      <c r="AI52" s="70">
        <f t="shared" si="13"/>
        <v>0</v>
      </c>
      <c r="AJ52" s="65"/>
    </row>
    <row r="53" spans="1:36" s="76" customFormat="1" ht="24" x14ac:dyDescent="0.25">
      <c r="A53" s="64" t="s">
        <v>38</v>
      </c>
      <c r="B53" s="65" t="s">
        <v>39</v>
      </c>
      <c r="C53" s="65" t="s">
        <v>39</v>
      </c>
      <c r="D53" s="65" t="s">
        <v>39</v>
      </c>
      <c r="E53" s="66"/>
      <c r="F53" s="65"/>
      <c r="G53" s="66" t="s">
        <v>41</v>
      </c>
      <c r="H53" s="64" t="s">
        <v>178</v>
      </c>
      <c r="I53" s="67" t="s">
        <v>180</v>
      </c>
      <c r="J53" s="65"/>
      <c r="K53" s="68">
        <v>200000</v>
      </c>
      <c r="L53" s="66"/>
      <c r="M53" s="69"/>
      <c r="N53" s="69"/>
      <c r="O53" s="65"/>
      <c r="P53" s="64"/>
      <c r="Q53" s="68"/>
      <c r="R53" s="70"/>
      <c r="S53" s="65"/>
      <c r="T53" s="71"/>
      <c r="U53" s="65"/>
      <c r="V53" s="72"/>
      <c r="W53" s="64"/>
      <c r="X53" s="70"/>
      <c r="Y53" s="97">
        <v>0</v>
      </c>
      <c r="Z53" s="68">
        <v>200000</v>
      </c>
      <c r="AA53" s="97"/>
      <c r="AB53" s="73"/>
      <c r="AC53" s="65"/>
      <c r="AD53" s="74"/>
      <c r="AE53" s="75">
        <v>45078</v>
      </c>
      <c r="AF53" s="75">
        <v>45261</v>
      </c>
      <c r="AG53" s="74"/>
      <c r="AH53" s="65"/>
      <c r="AI53" s="70">
        <f t="shared" si="13"/>
        <v>30000</v>
      </c>
      <c r="AJ53" s="65"/>
    </row>
    <row r="54" spans="1:36" s="76" customFormat="1" ht="24" x14ac:dyDescent="0.25">
      <c r="A54" s="64" t="s">
        <v>38</v>
      </c>
      <c r="B54" s="65" t="s">
        <v>39</v>
      </c>
      <c r="C54" s="65" t="s">
        <v>39</v>
      </c>
      <c r="D54" s="65" t="s">
        <v>39</v>
      </c>
      <c r="E54" s="66"/>
      <c r="F54" s="65"/>
      <c r="G54" s="66" t="s">
        <v>41</v>
      </c>
      <c r="H54" s="64" t="s">
        <v>171</v>
      </c>
      <c r="I54" s="67" t="s">
        <v>172</v>
      </c>
      <c r="J54" s="65"/>
      <c r="K54" s="68">
        <v>350000</v>
      </c>
      <c r="L54" s="66"/>
      <c r="M54" s="69"/>
      <c r="N54" s="69"/>
      <c r="O54" s="65"/>
      <c r="P54" s="64"/>
      <c r="Q54" s="68"/>
      <c r="R54" s="70"/>
      <c r="S54" s="65"/>
      <c r="T54" s="71"/>
      <c r="U54" s="65"/>
      <c r="V54" s="72"/>
      <c r="W54" s="64"/>
      <c r="X54" s="70"/>
      <c r="Y54" s="97">
        <v>350000</v>
      </c>
      <c r="Z54" s="68"/>
      <c r="AA54" s="97"/>
      <c r="AB54" s="73"/>
      <c r="AC54" s="65"/>
      <c r="AD54" s="74"/>
      <c r="AE54" s="75">
        <v>45078</v>
      </c>
      <c r="AF54" s="75">
        <v>45261</v>
      </c>
      <c r="AG54" s="74"/>
      <c r="AH54" s="65"/>
      <c r="AI54" s="70">
        <f t="shared" si="13"/>
        <v>0</v>
      </c>
      <c r="AJ54" s="65"/>
    </row>
    <row r="55" spans="1:36" s="76" customFormat="1" ht="36.75" thickBot="1" x14ac:dyDescent="0.3">
      <c r="A55" s="64" t="s">
        <v>38</v>
      </c>
      <c r="B55" s="65" t="s">
        <v>39</v>
      </c>
      <c r="C55" s="65" t="s">
        <v>39</v>
      </c>
      <c r="D55" s="65" t="s">
        <v>39</v>
      </c>
      <c r="E55" s="66"/>
      <c r="F55" s="65"/>
      <c r="G55" s="66" t="s">
        <v>41</v>
      </c>
      <c r="H55" s="64" t="s">
        <v>177</v>
      </c>
      <c r="I55" s="67" t="s">
        <v>176</v>
      </c>
      <c r="J55" s="65"/>
      <c r="K55" s="68">
        <v>250000</v>
      </c>
      <c r="L55" s="66"/>
      <c r="M55" s="69"/>
      <c r="N55" s="69"/>
      <c r="O55" s="65"/>
      <c r="P55" s="64"/>
      <c r="Q55" s="68"/>
      <c r="R55" s="70"/>
      <c r="S55" s="65"/>
      <c r="T55" s="71"/>
      <c r="U55" s="65"/>
      <c r="V55" s="72"/>
      <c r="W55" s="64"/>
      <c r="X55" s="70"/>
      <c r="Y55" s="97">
        <v>250000</v>
      </c>
      <c r="Z55" s="68"/>
      <c r="AA55" s="97"/>
      <c r="AB55" s="73"/>
      <c r="AC55" s="65"/>
      <c r="AD55" s="74"/>
      <c r="AE55" s="75">
        <v>45078</v>
      </c>
      <c r="AF55" s="75">
        <v>45261</v>
      </c>
      <c r="AG55" s="74"/>
      <c r="AH55" s="65"/>
      <c r="AI55" s="70">
        <f t="shared" si="13"/>
        <v>0</v>
      </c>
      <c r="AJ55" s="65"/>
    </row>
    <row r="56" spans="1:36" ht="15.75" thickBot="1" x14ac:dyDescent="0.3">
      <c r="A56" s="10" t="s">
        <v>156</v>
      </c>
      <c r="B56" s="11"/>
      <c r="C56" s="11"/>
      <c r="D56" s="11"/>
      <c r="E56" s="11"/>
      <c r="F56" s="11"/>
      <c r="G56" s="11"/>
      <c r="H56" s="11"/>
      <c r="I56" s="12"/>
      <c r="J56" s="11"/>
      <c r="K56" s="13">
        <f>SUBTOTAL(9,K5:K55)</f>
        <v>150971951.71277201</v>
      </c>
      <c r="L56" s="11"/>
      <c r="M56" s="11"/>
      <c r="N56" s="11"/>
      <c r="O56" s="11"/>
      <c r="P56" s="14"/>
      <c r="Q56" s="15"/>
      <c r="R56" s="11"/>
      <c r="S56" s="11"/>
      <c r="T56" s="11"/>
      <c r="U56" s="11"/>
      <c r="V56" s="11"/>
      <c r="W56" s="11"/>
      <c r="X56" s="15"/>
      <c r="Y56" s="13">
        <f>+SUBTOTAL(9,Y5:Y48)</f>
        <v>9027451.2891087998</v>
      </c>
      <c r="Z56" s="15"/>
      <c r="AA56" s="15">
        <f>+SUM(AA12:AA33)</f>
        <v>19976285.974554401</v>
      </c>
      <c r="AB56" s="11"/>
      <c r="AC56" s="11"/>
      <c r="AD56" s="11"/>
      <c r="AE56" s="16"/>
      <c r="AF56" s="11"/>
      <c r="AG56" s="11"/>
      <c r="AH56" s="11"/>
      <c r="AI56" s="17"/>
      <c r="AJ56" s="18"/>
    </row>
    <row r="57" spans="1:36" ht="15.75" x14ac:dyDescent="0.25">
      <c r="A57" s="4"/>
      <c r="B57" s="4"/>
      <c r="C57" s="4"/>
      <c r="D57" s="4"/>
      <c r="E57" s="4"/>
      <c r="F57" s="4"/>
      <c r="G57" s="4"/>
      <c r="H57" s="4"/>
      <c r="I57" s="5"/>
      <c r="J57" s="4"/>
      <c r="K57" s="6"/>
      <c r="L57" s="4"/>
      <c r="M57" s="4"/>
      <c r="N57" s="4"/>
      <c r="O57" s="4"/>
      <c r="P57" s="7"/>
      <c r="Q57" s="6"/>
      <c r="R57" s="4"/>
      <c r="S57" s="4"/>
      <c r="T57" s="4"/>
      <c r="U57" s="4"/>
      <c r="V57" s="4"/>
      <c r="W57" s="4"/>
      <c r="X57" s="6"/>
      <c r="Y57" s="6"/>
      <c r="Z57" s="6"/>
      <c r="AA57" s="6"/>
      <c r="AB57" s="4"/>
      <c r="AC57" s="4"/>
      <c r="AD57" s="4"/>
      <c r="AE57" s="8"/>
      <c r="AF57" s="4"/>
      <c r="AG57" s="4"/>
      <c r="AH57" s="4"/>
      <c r="AI57" s="9"/>
      <c r="AJ57" s="4"/>
    </row>
    <row r="58" spans="1:36" ht="15" x14ac:dyDescent="0.25"/>
    <row r="59" spans="1:36" ht="15" customHeight="1" x14ac:dyDescent="0.25">
      <c r="A59" s="31" t="s">
        <v>101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36" ht="15" customHeight="1" x14ac:dyDescent="0.25">
      <c r="A60" s="32" t="s">
        <v>102</v>
      </c>
      <c r="B60" s="2"/>
      <c r="C60" s="2"/>
      <c r="D60" s="2"/>
      <c r="E60" s="2"/>
      <c r="F60" s="2"/>
      <c r="G60" s="2"/>
      <c r="H60" s="2"/>
      <c r="I60" s="113"/>
      <c r="J60" s="109">
        <v>50840682.380000003</v>
      </c>
      <c r="K60" s="34"/>
      <c r="L60" s="2"/>
    </row>
    <row r="61" spans="1:36" ht="15" customHeight="1" x14ac:dyDescent="0.25">
      <c r="A61" s="32" t="s">
        <v>103</v>
      </c>
      <c r="B61" s="2"/>
      <c r="C61" s="2"/>
      <c r="D61" s="2"/>
      <c r="E61" s="2"/>
      <c r="F61" s="2"/>
      <c r="G61" s="2"/>
      <c r="H61" s="2"/>
      <c r="I61" s="114"/>
      <c r="J61" s="110">
        <v>5640000</v>
      </c>
      <c r="K61" s="34"/>
      <c r="L61" s="2"/>
    </row>
    <row r="62" spans="1:36" ht="15" customHeight="1" x14ac:dyDescent="0.25">
      <c r="A62" s="32" t="s">
        <v>104</v>
      </c>
      <c r="B62" s="2"/>
      <c r="C62" s="2"/>
      <c r="D62" s="2"/>
      <c r="E62" s="2"/>
      <c r="F62" s="2"/>
      <c r="G62" s="2"/>
      <c r="H62" s="2"/>
      <c r="I62" s="114"/>
      <c r="J62" s="111">
        <v>20029472.73</v>
      </c>
      <c r="K62" s="34"/>
      <c r="L62" s="2"/>
      <c r="Y62" s="3">
        <f>Y48-10000000</f>
        <v>-10000000</v>
      </c>
      <c r="Z62" s="3"/>
      <c r="AA62" s="3"/>
    </row>
    <row r="63" spans="1:36" ht="15" customHeight="1" x14ac:dyDescent="0.25">
      <c r="A63" s="32" t="s">
        <v>105</v>
      </c>
      <c r="B63" s="2"/>
      <c r="C63" s="2"/>
      <c r="D63" s="2"/>
      <c r="E63" s="2"/>
      <c r="F63" s="2"/>
      <c r="G63" s="2"/>
      <c r="H63" s="2"/>
      <c r="I63" s="114"/>
      <c r="J63" s="112">
        <v>22895623.600000001</v>
      </c>
      <c r="K63" s="34"/>
      <c r="L63" s="2"/>
    </row>
    <row r="64" spans="1:36" ht="15" customHeight="1" x14ac:dyDescent="0.25">
      <c r="A64" s="32" t="s">
        <v>106</v>
      </c>
      <c r="B64" s="2"/>
      <c r="C64" s="2"/>
      <c r="D64" s="2"/>
      <c r="E64" s="2"/>
      <c r="F64" s="2"/>
      <c r="G64" s="2"/>
      <c r="H64" s="2"/>
      <c r="I64" s="115"/>
      <c r="J64" s="2"/>
      <c r="K64" s="35"/>
      <c r="L64" s="33"/>
    </row>
    <row r="65" spans="1:12" ht="15" customHeight="1" x14ac:dyDescent="0.25">
      <c r="A65" s="32" t="s">
        <v>107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" customHeight="1" x14ac:dyDescent="0.25">
      <c r="A66" s="32" t="s">
        <v>108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" customHeight="1" x14ac:dyDescent="0.25">
      <c r="A67" s="32" t="s">
        <v>109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" customHeight="1" x14ac:dyDescent="0.25">
      <c r="A68" s="32" t="s">
        <v>110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" customHeight="1" x14ac:dyDescent="0.25">
      <c r="A69" s="32" t="s">
        <v>111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" customHeight="1" x14ac:dyDescent="0.25">
      <c r="A70" s="32" t="s">
        <v>112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" customHeight="1" x14ac:dyDescent="0.25">
      <c r="A71" s="32" t="s">
        <v>113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" customHeight="1" x14ac:dyDescent="0.25">
      <c r="A72" s="32" t="s">
        <v>114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" customHeight="1" x14ac:dyDescent="0.25">
      <c r="A73" s="32" t="s">
        <v>115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" customHeight="1" x14ac:dyDescent="0.25">
      <c r="A75" s="1" t="s">
        <v>116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" customHeight="1" x14ac:dyDescent="0.25">
      <c r="A76" s="2" t="s">
        <v>117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" customHeight="1" x14ac:dyDescent="0.25">
      <c r="A78" s="1" t="s">
        <v>118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" customHeight="1" x14ac:dyDescent="0.25">
      <c r="A79" s="2" t="s">
        <v>119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" customHeight="1" x14ac:dyDescent="0.25">
      <c r="A81" s="1" t="s">
        <v>120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" customHeight="1" x14ac:dyDescent="0.25">
      <c r="A82" s="122" t="s">
        <v>121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</sheetData>
  <autoFilter ref="AC25:AI37"/>
  <mergeCells count="29">
    <mergeCell ref="A82:L82"/>
    <mergeCell ref="D3:D4"/>
    <mergeCell ref="C3:C4"/>
    <mergeCell ref="B3:B4"/>
    <mergeCell ref="A3:A4"/>
    <mergeCell ref="E3:E4"/>
    <mergeCell ref="G3:G4"/>
    <mergeCell ref="F3:F4"/>
    <mergeCell ref="AJ3:AJ4"/>
    <mergeCell ref="AI3:AI4"/>
    <mergeCell ref="AH3:AH4"/>
    <mergeCell ref="U3:V3"/>
    <mergeCell ref="AG3:AG4"/>
    <mergeCell ref="AF3:AF4"/>
    <mergeCell ref="X3:X4"/>
    <mergeCell ref="AE3:AE4"/>
    <mergeCell ref="AD3:AD4"/>
    <mergeCell ref="AC3:AC4"/>
    <mergeCell ref="AB3:AB4"/>
    <mergeCell ref="O3:O4"/>
    <mergeCell ref="P3:P4"/>
    <mergeCell ref="W3:W4"/>
    <mergeCell ref="I3:I4"/>
    <mergeCell ref="H3:H4"/>
    <mergeCell ref="N3:N4"/>
    <mergeCell ref="M3:M4"/>
    <mergeCell ref="L3:L4"/>
    <mergeCell ref="K3:K4"/>
    <mergeCell ref="J3:J4"/>
  </mergeCells>
  <printOptions horizontalCentered="1" verticalCentered="1"/>
  <pageMargins left="0.23622047244094491" right="0.55118110236220474" top="0.74803149606299213" bottom="0.74803149606299213" header="0.31496062992125984" footer="0.31496062992125984"/>
  <pageSetup paperSize="9" scale="28" fitToWidth="2" fitToHeight="4" orientation="landscape" r:id="rId1"/>
  <headerFooter>
    <oddFooter>&amp;RPagina &amp;P di &amp;N</oddFooter>
  </headerFooter>
  <colBreaks count="1" manualBreakCount="1">
    <brk id="36" min="1" max="3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Piano investimenti</vt:lpstr>
      <vt:lpstr>Piano investimenti con colori</vt:lpstr>
      <vt:lpstr>'Piano investimenti'!Area_stampa</vt:lpstr>
      <vt:lpstr>'Piano investimenti con colori'!Area_stampa</vt:lpstr>
      <vt:lpstr>'Piano investimenti'!Titoli_stampa</vt:lpstr>
      <vt:lpstr>'Piano investimenti con colori'!Titoli_stampa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Piccari</dc:creator>
  <cp:lastModifiedBy>Paolo Abundo</cp:lastModifiedBy>
  <cp:lastPrinted>2023-05-19T07:25:55Z</cp:lastPrinted>
  <dcterms:created xsi:type="dcterms:W3CDTF">2010-09-27T13:52:33Z</dcterms:created>
  <dcterms:modified xsi:type="dcterms:W3CDTF">2023-12-28T16:05:29Z</dcterms:modified>
</cp:coreProperties>
</file>